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026"/>
  <workbookPr/>
  <mc:AlternateContent xmlns:mc="http://schemas.openxmlformats.org/markup-compatibility/2006">
    <mc:Choice Requires="x15">
      <x15ac:absPath xmlns:x15ac="http://schemas.microsoft.com/office/spreadsheetml/2010/11/ac" url="https://d.docs.live.net/1faab1a3ad985ca1/OneDrive/Desktop/Medical One/"/>
    </mc:Choice>
  </mc:AlternateContent>
  <xr:revisionPtr revIDLastSave="9" documentId="11_C9C38F1860FE38DFC00991A048C6F265FD8B8D6F" xr6:coauthVersionLast="47" xr6:coauthVersionMax="47" xr10:uidLastSave="{C9E66E5A-FFAD-458B-A646-8089EE34CE91}"/>
  <bookViews>
    <workbookView xWindow="3552" yWindow="276" windowWidth="18108" windowHeight="12084" firstSheet="1" activeTab="1" xr2:uid="{00000000-000D-0000-FFFF-FFFF00000000}"/>
  </bookViews>
  <sheets>
    <sheet name="Antecedentes" sheetId="1" r:id="rId1"/>
    <sheet name="Proyeccion dinero real" sheetId="2" r:id="rId2"/>
    <sheet name="VPN" sheetId="3" r:id="rId3"/>
    <sheet name="TIR" sheetId="4" r:id="rId4"/>
    <sheet name="Retorno de Inversion ROI" sheetId="5" r:id="rId5"/>
    <sheet name="Concentrado" sheetId="6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4" i="4" l="1"/>
  <c r="G21" i="2" l="1"/>
  <c r="G20" i="2"/>
  <c r="J17" i="2"/>
  <c r="J16" i="2"/>
  <c r="G19" i="2"/>
  <c r="J15" i="2"/>
  <c r="J18" i="2" s="1"/>
  <c r="B2" i="3" l="1"/>
  <c r="B2" i="4" s="1"/>
  <c r="E3" i="5"/>
  <c r="B5" i="4"/>
  <c r="B5" i="3"/>
  <c r="B4" i="3"/>
  <c r="B4" i="4" s="1"/>
  <c r="C56" i="2"/>
  <c r="D56" i="2"/>
  <c r="E56" i="2"/>
  <c r="F56" i="2"/>
  <c r="G56" i="2"/>
  <c r="H56" i="2"/>
  <c r="I56" i="2"/>
  <c r="J56" i="2"/>
  <c r="K56" i="2"/>
  <c r="L56" i="2"/>
  <c r="E18" i="2"/>
  <c r="AA46" i="2"/>
  <c r="AB46" i="2" s="1"/>
  <c r="AC46" i="2" s="1"/>
  <c r="AD46" i="2" s="1"/>
  <c r="AE46" i="2" s="1"/>
  <c r="AF46" i="2" s="1"/>
  <c r="AG46" i="2" s="1"/>
  <c r="AH46" i="2" s="1"/>
  <c r="AI46" i="2" s="1"/>
  <c r="AJ46" i="2" s="1"/>
  <c r="AK46" i="2" s="1"/>
  <c r="AL46" i="2" s="1"/>
  <c r="AM46" i="2" s="1"/>
  <c r="AN46" i="2" s="1"/>
  <c r="AO46" i="2" s="1"/>
  <c r="AP46" i="2" s="1"/>
  <c r="AQ46" i="2" s="1"/>
  <c r="AR46" i="2" s="1"/>
  <c r="AS46" i="2" s="1"/>
  <c r="AT46" i="2" s="1"/>
  <c r="AU46" i="2" s="1"/>
  <c r="AV46" i="2" s="1"/>
  <c r="AW46" i="2" s="1"/>
  <c r="Z44" i="2"/>
  <c r="AA44" i="2" s="1"/>
  <c r="AB44" i="2" s="1"/>
  <c r="AC44" i="2" s="1"/>
  <c r="AD44" i="2" s="1"/>
  <c r="AE44" i="2" s="1"/>
  <c r="AF44" i="2" s="1"/>
  <c r="AG44" i="2" s="1"/>
  <c r="AH44" i="2" s="1"/>
  <c r="AI44" i="2" s="1"/>
  <c r="AJ44" i="2" s="1"/>
  <c r="AK44" i="2" s="1"/>
  <c r="Z45" i="2"/>
  <c r="AA45" i="2" s="1"/>
  <c r="AB45" i="2" s="1"/>
  <c r="AC45" i="2" s="1"/>
  <c r="AD45" i="2" s="1"/>
  <c r="AE45" i="2" s="1"/>
  <c r="AF45" i="2" s="1"/>
  <c r="AG45" i="2" s="1"/>
  <c r="AH45" i="2" s="1"/>
  <c r="AI45" i="2" s="1"/>
  <c r="AJ45" i="2" s="1"/>
  <c r="AK45" i="2" s="1"/>
  <c r="AL45" i="2" s="1"/>
  <c r="AM45" i="2" s="1"/>
  <c r="AN45" i="2" s="1"/>
  <c r="AO45" i="2" s="1"/>
  <c r="AP45" i="2" s="1"/>
  <c r="AQ45" i="2" s="1"/>
  <c r="AR45" i="2" s="1"/>
  <c r="AS45" i="2" s="1"/>
  <c r="AT45" i="2" s="1"/>
  <c r="AU45" i="2" s="1"/>
  <c r="AV45" i="2" s="1"/>
  <c r="AW45" i="2" s="1"/>
  <c r="Z46" i="2"/>
  <c r="Z47" i="2"/>
  <c r="AA47" i="2" s="1"/>
  <c r="AB47" i="2" s="1"/>
  <c r="AC47" i="2" s="1"/>
  <c r="AD47" i="2" s="1"/>
  <c r="AE47" i="2" s="1"/>
  <c r="AF47" i="2" s="1"/>
  <c r="AG47" i="2" s="1"/>
  <c r="AH47" i="2" s="1"/>
  <c r="AI47" i="2" s="1"/>
  <c r="AJ47" i="2" s="1"/>
  <c r="AK47" i="2" s="1"/>
  <c r="Z48" i="2"/>
  <c r="AA48" i="2" s="1"/>
  <c r="AB48" i="2" s="1"/>
  <c r="AC48" i="2" s="1"/>
  <c r="AD48" i="2" s="1"/>
  <c r="AE48" i="2" s="1"/>
  <c r="AF48" i="2" s="1"/>
  <c r="AG48" i="2" s="1"/>
  <c r="AH48" i="2" s="1"/>
  <c r="AI48" i="2" s="1"/>
  <c r="AJ48" i="2" s="1"/>
  <c r="AK48" i="2" s="1"/>
  <c r="AL48" i="2" s="1"/>
  <c r="AM48" i="2" s="1"/>
  <c r="AN48" i="2" s="1"/>
  <c r="AO48" i="2" s="1"/>
  <c r="AP48" i="2" s="1"/>
  <c r="AQ48" i="2" s="1"/>
  <c r="AR48" i="2" s="1"/>
  <c r="AS48" i="2" s="1"/>
  <c r="AT48" i="2" s="1"/>
  <c r="AU48" i="2" s="1"/>
  <c r="AV48" i="2" s="1"/>
  <c r="AW48" i="2" s="1"/>
  <c r="Z49" i="2"/>
  <c r="AA49" i="2" s="1"/>
  <c r="AB49" i="2" s="1"/>
  <c r="AC49" i="2" s="1"/>
  <c r="AD49" i="2" s="1"/>
  <c r="AE49" i="2" s="1"/>
  <c r="AF49" i="2" s="1"/>
  <c r="AG49" i="2" s="1"/>
  <c r="AH49" i="2" s="1"/>
  <c r="AI49" i="2" s="1"/>
  <c r="AJ49" i="2" s="1"/>
  <c r="AK49" i="2" s="1"/>
  <c r="AL49" i="2" s="1"/>
  <c r="AM49" i="2" s="1"/>
  <c r="AN49" i="2" s="1"/>
  <c r="AO49" i="2" s="1"/>
  <c r="AP49" i="2" s="1"/>
  <c r="AQ49" i="2" s="1"/>
  <c r="AR49" i="2" s="1"/>
  <c r="AS49" i="2" s="1"/>
  <c r="AT49" i="2" s="1"/>
  <c r="AU49" i="2" s="1"/>
  <c r="AV49" i="2" s="1"/>
  <c r="AW49" i="2" s="1"/>
  <c r="G22" i="2"/>
  <c r="J19" i="2" s="1"/>
  <c r="F18" i="2"/>
  <c r="F19" i="2" s="1"/>
  <c r="F21" i="2"/>
  <c r="N38" i="2"/>
  <c r="O37" i="2"/>
  <c r="O38" i="2" s="1"/>
  <c r="N37" i="2"/>
  <c r="N35" i="2"/>
  <c r="N36" i="2" s="1"/>
  <c r="N34" i="2"/>
  <c r="N33" i="2"/>
  <c r="P33" i="2"/>
  <c r="P34" i="2" s="1"/>
  <c r="O33" i="2"/>
  <c r="O34" i="2" s="1"/>
  <c r="B27" i="2"/>
  <c r="B53" i="2"/>
  <c r="B54" i="2" s="1"/>
  <c r="C53" i="2"/>
  <c r="C54" i="2" s="1"/>
  <c r="D53" i="2"/>
  <c r="D54" i="2" s="1"/>
  <c r="E53" i="2"/>
  <c r="E54" i="2" s="1"/>
  <c r="F53" i="2"/>
  <c r="F54" i="2" s="1"/>
  <c r="G53" i="2"/>
  <c r="G54" i="2" s="1"/>
  <c r="H53" i="2"/>
  <c r="H54" i="2" s="1"/>
  <c r="I53" i="2"/>
  <c r="I54" i="2" s="1"/>
  <c r="J53" i="2"/>
  <c r="J54" i="2" s="1"/>
  <c r="K53" i="2"/>
  <c r="K54" i="2" s="1"/>
  <c r="L53" i="2"/>
  <c r="L54" i="2" s="1"/>
  <c r="M53" i="2"/>
  <c r="M54" i="2" s="1"/>
  <c r="F11" i="2"/>
  <c r="Q33" i="2" l="1"/>
  <c r="P37" i="2"/>
  <c r="K18" i="2"/>
  <c r="O35" i="2"/>
  <c r="D14" i="3"/>
  <c r="H22" i="2"/>
  <c r="N39" i="2" s="1"/>
  <c r="N40" i="2" s="1"/>
  <c r="N41" i="2" s="1"/>
  <c r="J20" i="2"/>
  <c r="AX49" i="2"/>
  <c r="AX48" i="2"/>
  <c r="AX46" i="2"/>
  <c r="AX45" i="2"/>
  <c r="AL47" i="2"/>
  <c r="F20" i="2"/>
  <c r="AY49" i="2" l="1"/>
  <c r="AZ49" i="2" s="1"/>
  <c r="BA49" i="2" s="1"/>
  <c r="BB49" i="2" s="1"/>
  <c r="BC49" i="2" s="1"/>
  <c r="AZ45" i="2"/>
  <c r="BA45" i="2" s="1"/>
  <c r="BB45" i="2" s="1"/>
  <c r="BC45" i="2" s="1"/>
  <c r="AY45" i="2"/>
  <c r="AM47" i="2"/>
  <c r="AN47" i="2" s="1"/>
  <c r="AO47" i="2" s="1"/>
  <c r="AP47" i="2" s="1"/>
  <c r="AQ47" i="2" s="1"/>
  <c r="AR47" i="2" s="1"/>
  <c r="AS47" i="2" s="1"/>
  <c r="AT47" i="2" s="1"/>
  <c r="AU47" i="2" s="1"/>
  <c r="AV47" i="2" s="1"/>
  <c r="AW47" i="2" s="1"/>
  <c r="AX47" i="2" s="1"/>
  <c r="Q37" i="2"/>
  <c r="P38" i="2"/>
  <c r="P35" i="2"/>
  <c r="O36" i="2"/>
  <c r="AY46" i="2"/>
  <c r="AZ46" i="2" s="1"/>
  <c r="BA46" i="2" s="1"/>
  <c r="BB46" i="2" s="1"/>
  <c r="BC46" i="2" s="1"/>
  <c r="AY48" i="2"/>
  <c r="AZ48" i="2" s="1"/>
  <c r="BA48" i="2" s="1"/>
  <c r="BB48" i="2" s="1"/>
  <c r="BC48" i="2" s="1"/>
  <c r="R33" i="2"/>
  <c r="Q34" i="2"/>
  <c r="J21" i="2"/>
  <c r="O39" i="2" s="1"/>
  <c r="AY47" i="2" l="1"/>
  <c r="AZ47" i="2" s="1"/>
  <c r="BA47" i="2" s="1"/>
  <c r="BB47" i="2" s="1"/>
  <c r="BC47" i="2" s="1"/>
  <c r="S33" i="2"/>
  <c r="R34" i="2"/>
  <c r="R37" i="2"/>
  <c r="Q38" i="2"/>
  <c r="Q35" i="2"/>
  <c r="P36" i="2"/>
  <c r="P39" i="2"/>
  <c r="O40" i="2"/>
  <c r="O41" i="2" s="1"/>
  <c r="T33" i="2" l="1"/>
  <c r="S34" i="2"/>
  <c r="R35" i="2"/>
  <c r="Q36" i="2"/>
  <c r="S37" i="2"/>
  <c r="R38" i="2"/>
  <c r="O50" i="2"/>
  <c r="O51" i="2" s="1"/>
  <c r="O53" i="2" s="1"/>
  <c r="O54" i="2" s="1"/>
  <c r="Q39" i="2"/>
  <c r="P40" i="2"/>
  <c r="P41" i="2" s="1"/>
  <c r="P50" i="2" s="1"/>
  <c r="P51" i="2" s="1"/>
  <c r="P53" i="2" s="1"/>
  <c r="P54" i="2" s="1"/>
  <c r="R36" i="2" l="1"/>
  <c r="S35" i="2"/>
  <c r="T37" i="2"/>
  <c r="S38" i="2"/>
  <c r="U33" i="2"/>
  <c r="T34" i="2"/>
  <c r="Q40" i="2"/>
  <c r="Q41" i="2" s="1"/>
  <c r="Q50" i="2" s="1"/>
  <c r="Q51" i="2" s="1"/>
  <c r="Q53" i="2" s="1"/>
  <c r="Q54" i="2" s="1"/>
  <c r="R39" i="2"/>
  <c r="U37" i="2" l="1"/>
  <c r="T38" i="2"/>
  <c r="T35" i="2"/>
  <c r="S36" i="2"/>
  <c r="V33" i="2"/>
  <c r="U34" i="2"/>
  <c r="S39" i="2"/>
  <c r="R40" i="2"/>
  <c r="R41" i="2" s="1"/>
  <c r="R50" i="2" s="1"/>
  <c r="R51" i="2" s="1"/>
  <c r="R53" i="2" s="1"/>
  <c r="R54" i="2" s="1"/>
  <c r="U35" i="2" l="1"/>
  <c r="T36" i="2"/>
  <c r="W33" i="2"/>
  <c r="V34" i="2"/>
  <c r="V37" i="2"/>
  <c r="U38" i="2"/>
  <c r="T39" i="2"/>
  <c r="S40" i="2"/>
  <c r="S41" i="2" s="1"/>
  <c r="S50" i="2" s="1"/>
  <c r="S51" i="2" s="1"/>
  <c r="S53" i="2" s="1"/>
  <c r="S54" i="2" s="1"/>
  <c r="X33" i="2" l="1"/>
  <c r="W34" i="2"/>
  <c r="W37" i="2"/>
  <c r="V38" i="2"/>
  <c r="V35" i="2"/>
  <c r="U36" i="2"/>
  <c r="U39" i="2"/>
  <c r="T40" i="2"/>
  <c r="T41" i="2" s="1"/>
  <c r="X37" i="2" l="1"/>
  <c r="W38" i="2"/>
  <c r="W35" i="2"/>
  <c r="V36" i="2"/>
  <c r="X34" i="2"/>
  <c r="Y33" i="2"/>
  <c r="Y34" i="2" s="1"/>
  <c r="Z34" i="2" s="1"/>
  <c r="AA34" i="2" s="1"/>
  <c r="AB34" i="2" s="1"/>
  <c r="AC34" i="2" s="1"/>
  <c r="AD34" i="2" s="1"/>
  <c r="AE34" i="2" s="1"/>
  <c r="AF34" i="2" s="1"/>
  <c r="AG34" i="2" s="1"/>
  <c r="AH34" i="2" s="1"/>
  <c r="AI34" i="2" s="1"/>
  <c r="AJ34" i="2" s="1"/>
  <c r="AK34" i="2" s="1"/>
  <c r="AL34" i="2" s="1"/>
  <c r="T50" i="2"/>
  <c r="T51" i="2" s="1"/>
  <c r="T53" i="2" s="1"/>
  <c r="T54" i="2" s="1"/>
  <c r="U40" i="2"/>
  <c r="U41" i="2" s="1"/>
  <c r="V39" i="2"/>
  <c r="AL44" i="2"/>
  <c r="AM44" i="2" s="1"/>
  <c r="AN44" i="2" s="1"/>
  <c r="AO44" i="2" s="1"/>
  <c r="AP44" i="2" s="1"/>
  <c r="AQ44" i="2" s="1"/>
  <c r="AR44" i="2" s="1"/>
  <c r="AS44" i="2" s="1"/>
  <c r="AT44" i="2" s="1"/>
  <c r="AU44" i="2" s="1"/>
  <c r="AV44" i="2" s="1"/>
  <c r="AW44" i="2" s="1"/>
  <c r="X35" i="2" l="1"/>
  <c r="W36" i="2"/>
  <c r="Y37" i="2"/>
  <c r="Y38" i="2" s="1"/>
  <c r="Z38" i="2" s="1"/>
  <c r="AA38" i="2" s="1"/>
  <c r="AB38" i="2" s="1"/>
  <c r="AC38" i="2" s="1"/>
  <c r="AD38" i="2" s="1"/>
  <c r="AE38" i="2" s="1"/>
  <c r="AF38" i="2" s="1"/>
  <c r="AG38" i="2" s="1"/>
  <c r="AH38" i="2" s="1"/>
  <c r="AI38" i="2" s="1"/>
  <c r="AJ38" i="2" s="1"/>
  <c r="AK38" i="2" s="1"/>
  <c r="X38" i="2"/>
  <c r="V40" i="2"/>
  <c r="V41" i="2" s="1"/>
  <c r="V50" i="2" s="1"/>
  <c r="V51" i="2" s="1"/>
  <c r="V53" i="2" s="1"/>
  <c r="V54" i="2" s="1"/>
  <c r="W39" i="2"/>
  <c r="U50" i="2"/>
  <c r="U51" i="2" s="1"/>
  <c r="U53" i="2" s="1"/>
  <c r="U54" i="2" s="1"/>
  <c r="AM34" i="2"/>
  <c r="AL38" i="2" l="1"/>
  <c r="AM38" i="2" s="1"/>
  <c r="AN38" i="2" s="1"/>
  <c r="AO38" i="2" s="1"/>
  <c r="AP38" i="2" s="1"/>
  <c r="AQ38" i="2" s="1"/>
  <c r="AR38" i="2" s="1"/>
  <c r="AS38" i="2" s="1"/>
  <c r="AT38" i="2" s="1"/>
  <c r="AU38" i="2" s="1"/>
  <c r="AV38" i="2" s="1"/>
  <c r="AW38" i="2" s="1"/>
  <c r="X36" i="2"/>
  <c r="Y35" i="2"/>
  <c r="Y36" i="2" s="1"/>
  <c r="Z36" i="2" s="1"/>
  <c r="AA36" i="2" s="1"/>
  <c r="AB36" i="2" s="1"/>
  <c r="AC36" i="2" s="1"/>
  <c r="AD36" i="2" s="1"/>
  <c r="AE36" i="2" s="1"/>
  <c r="AF36" i="2" s="1"/>
  <c r="AG36" i="2" s="1"/>
  <c r="AH36" i="2" s="1"/>
  <c r="AI36" i="2" s="1"/>
  <c r="AJ36" i="2" s="1"/>
  <c r="AK36" i="2" s="1"/>
  <c r="W40" i="2"/>
  <c r="W41" i="2" s="1"/>
  <c r="W50" i="2" s="1"/>
  <c r="W51" i="2" s="1"/>
  <c r="W53" i="2" s="1"/>
  <c r="W54" i="2" s="1"/>
  <c r="X39" i="2"/>
  <c r="AN34" i="2"/>
  <c r="AX38" i="2" l="1"/>
  <c r="AY38" i="2" s="1"/>
  <c r="AZ38" i="2" s="1"/>
  <c r="BA38" i="2" s="1"/>
  <c r="BB38" i="2" s="1"/>
  <c r="BC38" i="2" s="1"/>
  <c r="AL36" i="2"/>
  <c r="AM36" i="2" s="1"/>
  <c r="AN36" i="2" s="1"/>
  <c r="AO36" i="2" s="1"/>
  <c r="AP36" i="2" s="1"/>
  <c r="AQ36" i="2" s="1"/>
  <c r="AR36" i="2" s="1"/>
  <c r="AS36" i="2" s="1"/>
  <c r="AT36" i="2" s="1"/>
  <c r="AU36" i="2" s="1"/>
  <c r="AV36" i="2" s="1"/>
  <c r="AW36" i="2" s="1"/>
  <c r="X40" i="2"/>
  <c r="X41" i="2" s="1"/>
  <c r="X50" i="2" s="1"/>
  <c r="X51" i="2" s="1"/>
  <c r="X53" i="2" s="1"/>
  <c r="X54" i="2" s="1"/>
  <c r="Y39" i="2"/>
  <c r="Y40" i="2" s="1"/>
  <c r="Y41" i="2" s="1"/>
  <c r="Z40" i="2"/>
  <c r="AO34" i="2"/>
  <c r="AX36" i="2" l="1"/>
  <c r="AY36" i="2" s="1"/>
  <c r="AZ36" i="2" s="1"/>
  <c r="BA36" i="2" s="1"/>
  <c r="BB36" i="2" s="1"/>
  <c r="BC36" i="2" s="1"/>
  <c r="Z41" i="2"/>
  <c r="AA40" i="2"/>
  <c r="Y50" i="2"/>
  <c r="Y51" i="2" s="1"/>
  <c r="Y53" i="2" s="1"/>
  <c r="Y54" i="2" s="1"/>
  <c r="AP34" i="2"/>
  <c r="AB40" i="2" l="1"/>
  <c r="AA41" i="2"/>
  <c r="AA50" i="2" s="1"/>
  <c r="AA51" i="2" s="1"/>
  <c r="AA53" i="2" s="1"/>
  <c r="AA54" i="2" s="1"/>
  <c r="Z50" i="2"/>
  <c r="Z51" i="2" s="1"/>
  <c r="Z53" i="2" s="1"/>
  <c r="Z54" i="2" s="1"/>
  <c r="AQ34" i="2"/>
  <c r="AC40" i="2" l="1"/>
  <c r="AB41" i="2"/>
  <c r="AB50" i="2" s="1"/>
  <c r="AB51" i="2" s="1"/>
  <c r="AB53" i="2" s="1"/>
  <c r="AB54" i="2" s="1"/>
  <c r="AR34" i="2"/>
  <c r="AD40" i="2" l="1"/>
  <c r="AC41" i="2"/>
  <c r="AC50" i="2" s="1"/>
  <c r="AC51" i="2" s="1"/>
  <c r="AC53" i="2" s="1"/>
  <c r="AC54" i="2" s="1"/>
  <c r="AS34" i="2"/>
  <c r="AE40" i="2" l="1"/>
  <c r="AD41" i="2"/>
  <c r="AD50" i="2" s="1"/>
  <c r="AD51" i="2" s="1"/>
  <c r="AD53" i="2" s="1"/>
  <c r="AD54" i="2" s="1"/>
  <c r="AT34" i="2"/>
  <c r="AF40" i="2" l="1"/>
  <c r="AE41" i="2"/>
  <c r="AE50" i="2" s="1"/>
  <c r="AE51" i="2" s="1"/>
  <c r="AE53" i="2" s="1"/>
  <c r="AE54" i="2" s="1"/>
  <c r="F14" i="3" s="1"/>
  <c r="AU34" i="2"/>
  <c r="AG40" i="2" l="1"/>
  <c r="AF41" i="2"/>
  <c r="AF50" i="2" s="1"/>
  <c r="AF51" i="2" s="1"/>
  <c r="AF53" i="2" s="1"/>
  <c r="AF54" i="2" s="1"/>
  <c r="AV34" i="2"/>
  <c r="AH40" i="2" l="1"/>
  <c r="AG41" i="2"/>
  <c r="AG50" i="2" s="1"/>
  <c r="AG51" i="2" s="1"/>
  <c r="AG53" i="2" s="1"/>
  <c r="AG54" i="2" s="1"/>
  <c r="AW34" i="2"/>
  <c r="AX34" i="2" s="1"/>
  <c r="AI40" i="2" l="1"/>
  <c r="AH41" i="2"/>
  <c r="AH50" i="2" s="1"/>
  <c r="AH51" i="2" s="1"/>
  <c r="AH53" i="2" s="1"/>
  <c r="AH54" i="2" s="1"/>
  <c r="AX44" i="2"/>
  <c r="AY44" i="2" s="1"/>
  <c r="AJ40" i="2" l="1"/>
  <c r="AI41" i="2"/>
  <c r="AI50" i="2" s="1"/>
  <c r="AI51" i="2" s="1"/>
  <c r="AI53" i="2" s="1"/>
  <c r="AI54" i="2" s="1"/>
  <c r="AY34" i="2"/>
  <c r="AK40" i="2" l="1"/>
  <c r="AJ41" i="2"/>
  <c r="AJ50" i="2" s="1"/>
  <c r="AJ51" i="2" s="1"/>
  <c r="AJ53" i="2" s="1"/>
  <c r="AJ54" i="2" s="1"/>
  <c r="AZ44" i="2"/>
  <c r="AZ34" i="2"/>
  <c r="AL40" i="2" l="1"/>
  <c r="AK41" i="2"/>
  <c r="AK50" i="2" s="1"/>
  <c r="AK51" i="2" s="1"/>
  <c r="AK53" i="2" s="1"/>
  <c r="AK54" i="2" s="1"/>
  <c r="BA44" i="2"/>
  <c r="BA34" i="2"/>
  <c r="AM40" i="2" l="1"/>
  <c r="AL41" i="2"/>
  <c r="AL50" i="2" s="1"/>
  <c r="AL51" i="2" s="1"/>
  <c r="AL53" i="2" s="1"/>
  <c r="AL54" i="2" s="1"/>
  <c r="BB44" i="2"/>
  <c r="BB34" i="2"/>
  <c r="AN40" i="2" l="1"/>
  <c r="AM41" i="2"/>
  <c r="AM50" i="2" s="1"/>
  <c r="AM51" i="2" s="1"/>
  <c r="AM53" i="2" s="1"/>
  <c r="AM54" i="2" s="1"/>
  <c r="BC44" i="2"/>
  <c r="BC34" i="2"/>
  <c r="AO40" i="2" l="1"/>
  <c r="AN41" i="2"/>
  <c r="AN50" i="2" s="1"/>
  <c r="AN51" i="2" s="1"/>
  <c r="AN53" i="2" s="1"/>
  <c r="AN54" i="2" s="1"/>
  <c r="D23" i="1"/>
  <c r="B1" i="2"/>
  <c r="B1" i="3" s="1"/>
  <c r="B1" i="4" s="1"/>
  <c r="D8" i="1"/>
  <c r="D9" i="1"/>
  <c r="D16" i="1" s="1"/>
  <c r="D10" i="1"/>
  <c r="D11" i="1"/>
  <c r="D12" i="1"/>
  <c r="D13" i="1"/>
  <c r="D14" i="1"/>
  <c r="D15" i="1"/>
  <c r="C32" i="1"/>
  <c r="C33" i="1" s="1"/>
  <c r="C31" i="1"/>
  <c r="C30" i="1"/>
  <c r="B31" i="1"/>
  <c r="B32" i="1" s="1"/>
  <c r="B33" i="1" s="1"/>
  <c r="B30" i="1"/>
  <c r="F16" i="1" l="1"/>
  <c r="D25" i="1"/>
  <c r="F25" i="1" s="1"/>
  <c r="AP40" i="2"/>
  <c r="AO41" i="2"/>
  <c r="AO50" i="2" s="1"/>
  <c r="AO51" i="2" s="1"/>
  <c r="AO53" i="2" s="1"/>
  <c r="AO54" i="2" s="1"/>
  <c r="N50" i="2"/>
  <c r="N51" i="2" s="1"/>
  <c r="N53" i="2" s="1"/>
  <c r="N54" i="2" s="1"/>
  <c r="A2" i="5"/>
  <c r="B13" i="4"/>
  <c r="C14" i="4" s="1"/>
  <c r="B3" i="4"/>
  <c r="B2" i="5" s="1"/>
  <c r="D17" i="3"/>
  <c r="B13" i="3"/>
  <c r="B3" i="3"/>
  <c r="B3" i="2"/>
  <c r="B5" i="2" s="1"/>
  <c r="E14" i="3" l="1"/>
  <c r="AQ40" i="2"/>
  <c r="AP41" i="2"/>
  <c r="AP50" i="2" s="1"/>
  <c r="AP51" i="2" s="1"/>
  <c r="AP53" i="2" s="1"/>
  <c r="AP54" i="2" s="1"/>
  <c r="B58" i="2"/>
  <c r="D14" i="4"/>
  <c r="D6" i="5" s="1"/>
  <c r="B5" i="5"/>
  <c r="C17" i="3"/>
  <c r="AR40" i="2" l="1"/>
  <c r="AQ41" i="2"/>
  <c r="AQ50" i="2" s="1"/>
  <c r="AQ51" i="2" s="1"/>
  <c r="AQ53" i="2" s="1"/>
  <c r="AQ54" i="2" s="1"/>
  <c r="B30" i="2"/>
  <c r="M27" i="2" s="1"/>
  <c r="M29" i="2" s="1"/>
  <c r="B56" i="2"/>
  <c r="M56" i="2" s="1"/>
  <c r="N56" i="2" s="1"/>
  <c r="O56" i="2" s="1"/>
  <c r="P56" i="2" s="1"/>
  <c r="Q56" i="2" s="1"/>
  <c r="R56" i="2" s="1"/>
  <c r="S56" i="2" s="1"/>
  <c r="T56" i="2" s="1"/>
  <c r="U56" i="2" s="1"/>
  <c r="V56" i="2" s="1"/>
  <c r="W56" i="2" s="1"/>
  <c r="X56" i="2" s="1"/>
  <c r="Y56" i="2" s="1"/>
  <c r="Z56" i="2" s="1"/>
  <c r="AA56" i="2" s="1"/>
  <c r="AB56" i="2" s="1"/>
  <c r="AC56" i="2" s="1"/>
  <c r="AD56" i="2" s="1"/>
  <c r="AE56" i="2" s="1"/>
  <c r="AF56" i="2" s="1"/>
  <c r="AG56" i="2" s="1"/>
  <c r="AH56" i="2" s="1"/>
  <c r="AI56" i="2" s="1"/>
  <c r="AJ56" i="2" s="1"/>
  <c r="AK56" i="2" s="1"/>
  <c r="AL56" i="2" s="1"/>
  <c r="AM56" i="2" s="1"/>
  <c r="AN56" i="2" s="1"/>
  <c r="AO56" i="2" s="1"/>
  <c r="AP56" i="2" s="1"/>
  <c r="G14" i="3" l="1"/>
  <c r="AQ56" i="2"/>
  <c r="AS40" i="2"/>
  <c r="AR41" i="2"/>
  <c r="AR50" i="2" s="1"/>
  <c r="AR51" i="2" s="1"/>
  <c r="AR53" i="2" s="1"/>
  <c r="AR54" i="2" s="1"/>
  <c r="M30" i="2"/>
  <c r="AR56" i="2" l="1"/>
  <c r="AT40" i="2"/>
  <c r="AS41" i="2"/>
  <c r="AS50" i="2" s="1"/>
  <c r="AS51" i="2" s="1"/>
  <c r="AS53" i="2" s="1"/>
  <c r="AS54" i="2" s="1"/>
  <c r="F17" i="3"/>
  <c r="F14" i="4"/>
  <c r="F6" i="5" s="1"/>
  <c r="G17" i="3"/>
  <c r="G6" i="5"/>
  <c r="E17" i="3"/>
  <c r="E14" i="4"/>
  <c r="AS56" i="2" l="1"/>
  <c r="AU40" i="2"/>
  <c r="AT41" i="2"/>
  <c r="AT50" i="2" s="1"/>
  <c r="AT51" i="2" s="1"/>
  <c r="AT53" i="2" s="1"/>
  <c r="AT54" i="2" s="1"/>
  <c r="C13" i="4"/>
  <c r="B6" i="6" s="1"/>
  <c r="E6" i="5"/>
  <c r="B8" i="5" s="1"/>
  <c r="AT56" i="2" l="1"/>
  <c r="AV40" i="2"/>
  <c r="AU41" i="2"/>
  <c r="AU50" i="2" s="1"/>
  <c r="AU51" i="2" s="1"/>
  <c r="AU53" i="2" s="1"/>
  <c r="AU54" i="2" s="1"/>
  <c r="AU56" i="2" l="1"/>
  <c r="AW40" i="2"/>
  <c r="AV41" i="2"/>
  <c r="AV50" i="2" s="1"/>
  <c r="AV51" i="2" s="1"/>
  <c r="AV53" i="2" s="1"/>
  <c r="AV54" i="2" s="1"/>
  <c r="AX40" i="2" l="1"/>
  <c r="AX41" i="2" s="1"/>
  <c r="AX50" i="2" s="1"/>
  <c r="AX51" i="2" s="1"/>
  <c r="AX53" i="2" s="1"/>
  <c r="AX54" i="2" s="1"/>
  <c r="AW41" i="2"/>
  <c r="AW50" i="2" s="1"/>
  <c r="AW51" i="2" s="1"/>
  <c r="AW53" i="2" s="1"/>
  <c r="AW54" i="2" s="1"/>
  <c r="AV56" i="2"/>
  <c r="AW56" i="2" l="1"/>
  <c r="AX56" i="2" s="1"/>
  <c r="AY40" i="2"/>
  <c r="AZ40" i="2" l="1"/>
  <c r="AY41" i="2"/>
  <c r="AY50" i="2" s="1"/>
  <c r="AY51" i="2" s="1"/>
  <c r="AY53" i="2" s="1"/>
  <c r="AY54" i="2" s="1"/>
  <c r="AY56" i="2" s="1"/>
  <c r="BA40" i="2" l="1"/>
  <c r="AZ41" i="2"/>
  <c r="AZ50" i="2" s="1"/>
  <c r="AZ51" i="2" s="1"/>
  <c r="AZ53" i="2" s="1"/>
  <c r="AZ54" i="2" s="1"/>
  <c r="AZ56" i="2" s="1"/>
  <c r="BB40" i="2" l="1"/>
  <c r="BA41" i="2"/>
  <c r="BA50" i="2" s="1"/>
  <c r="BA51" i="2" s="1"/>
  <c r="BA53" i="2" s="1"/>
  <c r="BA54" i="2" s="1"/>
  <c r="BA56" i="2" s="1"/>
  <c r="BC40" i="2" l="1"/>
  <c r="BC41" i="2" s="1"/>
  <c r="BC50" i="2" s="1"/>
  <c r="BC51" i="2" s="1"/>
  <c r="BC53" i="2" s="1"/>
  <c r="BC54" i="2" s="1"/>
  <c r="BB41" i="2"/>
  <c r="BB50" i="2" s="1"/>
  <c r="BB51" i="2" s="1"/>
  <c r="BB53" i="2" s="1"/>
  <c r="BB54" i="2" s="1"/>
  <c r="BB56" i="2" s="1"/>
  <c r="BC56" i="2" s="1"/>
  <c r="BD54" i="2" l="1"/>
  <c r="C13" i="3" l="1"/>
  <c r="C5" i="6" s="1"/>
  <c r="C5" i="5" l="1"/>
  <c r="B7" i="6" s="1"/>
  <c r="C7" i="6"/>
</calcChain>
</file>

<file path=xl/sharedStrings.xml><?xml version="1.0" encoding="utf-8"?>
<sst xmlns="http://schemas.openxmlformats.org/spreadsheetml/2006/main" count="204" uniqueCount="135">
  <si>
    <t>Aportación de Terreno</t>
  </si>
  <si>
    <r>
      <t>Precio de m</t>
    </r>
    <r>
      <rPr>
        <sz val="11"/>
        <color theme="1"/>
        <rFont val="Calibri"/>
        <family val="2"/>
      </rPr>
      <t>² venta</t>
    </r>
  </si>
  <si>
    <t>Area vendible</t>
  </si>
  <si>
    <t xml:space="preserve">Costo de terreno </t>
  </si>
  <si>
    <r>
      <t>Costo m</t>
    </r>
    <r>
      <rPr>
        <sz val="11"/>
        <color theme="1"/>
        <rFont val="Calibri"/>
        <family val="2"/>
      </rPr>
      <t>² urbanizado</t>
    </r>
  </si>
  <si>
    <r>
      <t>Costo de m</t>
    </r>
    <r>
      <rPr>
        <sz val="11"/>
        <color theme="1"/>
        <rFont val="Calibri"/>
        <family val="2"/>
      </rPr>
      <t>² vendible</t>
    </r>
  </si>
  <si>
    <r>
      <t>Precio de Venta m</t>
    </r>
    <r>
      <rPr>
        <sz val="11"/>
        <color theme="1"/>
        <rFont val="Calibri"/>
        <family val="2"/>
      </rPr>
      <t>²</t>
    </r>
  </si>
  <si>
    <t xml:space="preserve">millones de pesos </t>
  </si>
  <si>
    <t xml:space="preserve">Inflación proyectada </t>
  </si>
  <si>
    <t>millones de pesos</t>
  </si>
  <si>
    <t>Concepto</t>
  </si>
  <si>
    <t>Firma de contrato</t>
  </si>
  <si>
    <t>Costo del dinero acumulado</t>
  </si>
  <si>
    <r>
      <rPr>
        <sz val="11"/>
        <color rgb="FFFF0000"/>
        <rFont val="Calibri"/>
        <family val="2"/>
        <scheme val="minor"/>
      </rPr>
      <t>Monto total Prestado</t>
    </r>
    <r>
      <rPr>
        <sz val="11"/>
        <color theme="1"/>
        <rFont val="Calibri"/>
        <family val="2"/>
        <scheme val="minor"/>
      </rPr>
      <t>/</t>
    </r>
    <r>
      <rPr>
        <sz val="11"/>
        <color theme="4" tint="-0.499984740745262"/>
        <rFont val="Calibri"/>
        <family val="2"/>
        <scheme val="minor"/>
      </rPr>
      <t xml:space="preserve"> Retorno de Inversión</t>
    </r>
  </si>
  <si>
    <t xml:space="preserve">Inversión inicial </t>
  </si>
  <si>
    <t>Flujo de efectivo</t>
  </si>
  <si>
    <t>Tasa de descuento</t>
  </si>
  <si>
    <t>Vida útil del proyecto</t>
  </si>
  <si>
    <t>Valor Presente Neto</t>
  </si>
  <si>
    <t>Inversión Inicial Previa</t>
  </si>
  <si>
    <t>Flujo de Efectivo en el tiempo</t>
  </si>
  <si>
    <t>La regla de decisión  es que si el valor presente neto es positivo entonces genera riqueza</t>
  </si>
  <si>
    <t>Fuente: Elaboración propia con información de trabajo de campo.</t>
  </si>
  <si>
    <t>Area Vendible</t>
  </si>
  <si>
    <r>
      <t>Precio de Venta del m</t>
    </r>
    <r>
      <rPr>
        <sz val="11"/>
        <color theme="1"/>
        <rFont val="Calibri"/>
        <family val="2"/>
      </rPr>
      <t>²</t>
    </r>
  </si>
  <si>
    <r>
      <t>m</t>
    </r>
    <r>
      <rPr>
        <sz val="11"/>
        <color theme="1"/>
        <rFont val="Calibri"/>
        <family val="2"/>
      </rPr>
      <t>²</t>
    </r>
  </si>
  <si>
    <t>Participación de utilidades</t>
  </si>
  <si>
    <t>Ventas totales para Ipejal</t>
  </si>
  <si>
    <r>
      <rPr>
        <b/>
        <sz val="11"/>
        <color theme="1"/>
        <rFont val="Calibri"/>
        <family val="2"/>
        <scheme val="minor"/>
      </rPr>
      <t>n</t>
    </r>
    <r>
      <rPr>
        <sz val="11"/>
        <color theme="1"/>
        <rFont val="Calibri"/>
        <family val="2"/>
        <scheme val="minor"/>
      </rPr>
      <t xml:space="preserve"> es el numero de años del horizonte de evaluación menos uno( vida útil de proyecto) 3 años</t>
    </r>
  </si>
  <si>
    <t>VPN</t>
  </si>
  <si>
    <t>Sumatoria en el tiempo</t>
  </si>
  <si>
    <t>Manera de Decisión</t>
  </si>
  <si>
    <t>1. Si el valor presente neto es positivo la tasa elegida generará Riquezas.</t>
  </si>
  <si>
    <t>2. Si el valor presente neto es igual a cero el proyecto no generará Riquezas ni perdidas, por lo que su realización resultará indiferente.</t>
  </si>
  <si>
    <t>3. Si el valor presente neto es negativo, el proyecto de inversión generará perdidas, por lo que deberá ser rechazado.</t>
  </si>
  <si>
    <t>Inversion Inicial</t>
  </si>
  <si>
    <t>TIR</t>
  </si>
  <si>
    <t>RETORNO DE LA INVERSION (ROI)</t>
  </si>
  <si>
    <t>Contar</t>
  </si>
  <si>
    <t>ROI anual</t>
  </si>
  <si>
    <t>Ingresos acumulados</t>
  </si>
  <si>
    <t xml:space="preserve">El calculo de ROI ( Retorno de la inversión) en el periodo que cada inversor determine es la cantidad de años o meses donde decide retirar la inversión </t>
  </si>
  <si>
    <t>para poder hacer el calculo es la suma de los INGRESOS ACUMULADOS generados hasta el momento que decide retirarse menos  EL COSTO (Inversión)</t>
  </si>
  <si>
    <r>
      <t xml:space="preserve">dividido entre el COSTO (Inversión) y  lo que resulte de esto, se divide entre el numero de años para obtener una </t>
    </r>
    <r>
      <rPr>
        <b/>
        <i/>
        <sz val="11"/>
        <color theme="1"/>
        <rFont val="Calibri"/>
        <family val="2"/>
        <scheme val="minor"/>
      </rPr>
      <t>tasa Anual de Retorno Final.</t>
    </r>
  </si>
  <si>
    <t>CONCENTRADO DE LA EVALUACIÓN DE PROYECTO</t>
  </si>
  <si>
    <t>Porcentajes</t>
  </si>
  <si>
    <t>Millones</t>
  </si>
  <si>
    <t>TIR Neta</t>
  </si>
  <si>
    <t>Notas:</t>
  </si>
  <si>
    <t xml:space="preserve">que se obtiene ademas de la inversion inicial </t>
  </si>
  <si>
    <t xml:space="preserve">1. EL VALOR PRESENTE NETO: Es el dinero en el futuro agregando una tasa de interés  del 10% y es la cantidad </t>
  </si>
  <si>
    <t>de interés generada por al inversión año con año en el periódo de la inversión.</t>
  </si>
  <si>
    <t>3. RETORNO DE LA INVERSIÓN: Es la cantidad de dinero generada en el periodo de inversión y el porcentaje es una tasa</t>
  </si>
  <si>
    <r>
      <t>M</t>
    </r>
    <r>
      <rPr>
        <b/>
        <sz val="11"/>
        <color theme="1"/>
        <rFont val="Calibri"/>
        <family val="2"/>
      </rPr>
      <t>²</t>
    </r>
  </si>
  <si>
    <r>
      <t>m</t>
    </r>
    <r>
      <rPr>
        <b/>
        <sz val="11"/>
        <color theme="1"/>
        <rFont val="Calibri"/>
        <family val="2"/>
      </rPr>
      <t>²</t>
    </r>
  </si>
  <si>
    <t>PROYECTO: MEDICAL ONE(AV. SANTA MARGARITA)</t>
  </si>
  <si>
    <t>Con Uso de suelo</t>
  </si>
  <si>
    <t>Sin Uso de suelo</t>
  </si>
  <si>
    <t>Aportación con uso de suelo:</t>
  </si>
  <si>
    <t>Aportación sin uso de suelo:</t>
  </si>
  <si>
    <t>Aportación(Wellness Capital)</t>
  </si>
  <si>
    <t xml:space="preserve">     1.Estudios, licencias, estructural</t>
  </si>
  <si>
    <t xml:space="preserve">     2.Area Hospitalaria</t>
  </si>
  <si>
    <t xml:space="preserve">     3.Consultorios</t>
  </si>
  <si>
    <t xml:space="preserve">     4.Comercial</t>
  </si>
  <si>
    <t xml:space="preserve">     5.Sanitarios</t>
  </si>
  <si>
    <t xml:space="preserve">     6.Circulaciones</t>
  </si>
  <si>
    <t xml:space="preserve">     7.Oficinas y Almacen</t>
  </si>
  <si>
    <t xml:space="preserve">     8.Sótano</t>
  </si>
  <si>
    <t>Inversión Total construcción y terreno:</t>
  </si>
  <si>
    <r>
      <t>Precio M</t>
    </r>
    <r>
      <rPr>
        <b/>
        <sz val="11"/>
        <color theme="1"/>
        <rFont val="Calibri"/>
        <family val="2"/>
      </rPr>
      <t>²</t>
    </r>
  </si>
  <si>
    <t>Tasa de interés</t>
  </si>
  <si>
    <t xml:space="preserve">     Consultorios obra gris</t>
  </si>
  <si>
    <t xml:space="preserve">     Cowork</t>
  </si>
  <si>
    <t xml:space="preserve">     Administrción de Consultas</t>
  </si>
  <si>
    <t xml:space="preserve">     Rentas</t>
  </si>
  <si>
    <t>Ingreso</t>
  </si>
  <si>
    <t>Total Ingresos</t>
  </si>
  <si>
    <t>Egresos</t>
  </si>
  <si>
    <t xml:space="preserve">     Gastos del Inmueble</t>
  </si>
  <si>
    <t xml:space="preserve">     Gastos variables</t>
  </si>
  <si>
    <t xml:space="preserve">     Nómina</t>
  </si>
  <si>
    <t xml:space="preserve">     Mkt y publicidad</t>
  </si>
  <si>
    <t xml:space="preserve">     Limpieza y mantenimiento </t>
  </si>
  <si>
    <t xml:space="preserve">     Gastos de Operación </t>
  </si>
  <si>
    <t xml:space="preserve">     Gastos Imprevistos </t>
  </si>
  <si>
    <t>Total de Egresos</t>
  </si>
  <si>
    <t>Utilidad o Perdida</t>
  </si>
  <si>
    <t xml:space="preserve">  Construcción</t>
  </si>
  <si>
    <t xml:space="preserve">  Total costrucción </t>
  </si>
  <si>
    <t xml:space="preserve">  Arranque de obra y Ventas</t>
  </si>
  <si>
    <t xml:space="preserve">     Demoliciones</t>
  </si>
  <si>
    <t xml:space="preserve">     Equipamiento </t>
  </si>
  <si>
    <t xml:space="preserve">     Inventario inicial</t>
  </si>
  <si>
    <t xml:space="preserve">     Pre-operativos</t>
  </si>
  <si>
    <t xml:space="preserve">     Nómina pre-operativa</t>
  </si>
  <si>
    <t xml:space="preserve">  Total Arranque de obra y ventas</t>
  </si>
  <si>
    <t>Rentas</t>
  </si>
  <si>
    <t xml:space="preserve">     Hospital</t>
  </si>
  <si>
    <t xml:space="preserve">     Comercial</t>
  </si>
  <si>
    <t xml:space="preserve">     Consultorios privados</t>
  </si>
  <si>
    <r>
      <t>16.19 m</t>
    </r>
    <r>
      <rPr>
        <sz val="11"/>
        <color theme="1"/>
        <rFont val="Calibri"/>
        <family val="2"/>
      </rPr>
      <t>²</t>
    </r>
  </si>
  <si>
    <t>Tope</t>
  </si>
  <si>
    <t xml:space="preserve">Maximo </t>
  </si>
  <si>
    <t xml:space="preserve">Inicio </t>
  </si>
  <si>
    <t xml:space="preserve">     Cowork(Membresias, Entrevista, </t>
  </si>
  <si>
    <t xml:space="preserve">                     tratamiento, exploración)</t>
  </si>
  <si>
    <t xml:space="preserve">     Administración de consultas</t>
  </si>
  <si>
    <t xml:space="preserve">     Estacionamiento</t>
  </si>
  <si>
    <t>Incremento
Renta</t>
  </si>
  <si>
    <t>Incremento
Mensual</t>
  </si>
  <si>
    <r>
      <t>1,203.44 m</t>
    </r>
    <r>
      <rPr>
        <sz val="11"/>
        <color theme="1"/>
        <rFont val="Calibri"/>
        <family val="2"/>
      </rPr>
      <t>²</t>
    </r>
  </si>
  <si>
    <r>
      <t>614.50 m</t>
    </r>
    <r>
      <rPr>
        <sz val="11"/>
        <color theme="1"/>
        <rFont val="Calibri"/>
        <family val="2"/>
      </rPr>
      <t>²</t>
    </r>
  </si>
  <si>
    <r>
      <t>70.00 m</t>
    </r>
    <r>
      <rPr>
        <sz val="11"/>
        <color theme="1"/>
        <rFont val="Calibri"/>
        <family val="2"/>
      </rPr>
      <t>²</t>
    </r>
  </si>
  <si>
    <t>Conceptos</t>
  </si>
  <si>
    <t>julio</t>
  </si>
  <si>
    <t>ago</t>
  </si>
  <si>
    <t>sept</t>
  </si>
  <si>
    <t>oct</t>
  </si>
  <si>
    <t>nov</t>
  </si>
  <si>
    <t>dic</t>
  </si>
  <si>
    <t>ene</t>
  </si>
  <si>
    <t>feb</t>
  </si>
  <si>
    <t>mar</t>
  </si>
  <si>
    <t>abr</t>
  </si>
  <si>
    <t>may</t>
  </si>
  <si>
    <t>jun</t>
  </si>
  <si>
    <t>jul</t>
  </si>
  <si>
    <t>Inflación</t>
  </si>
  <si>
    <t>Acumulado</t>
  </si>
  <si>
    <t>ROI (TIR de venta)</t>
  </si>
  <si>
    <t>2. TASA INTERNA DE RETORNO: Es la tasa de interés que genera de ganancia año con año en el periodo de inversión.</t>
  </si>
  <si>
    <r>
      <t>Precio de Venta del m</t>
    </r>
    <r>
      <rPr>
        <b/>
        <sz val="11"/>
        <color theme="1"/>
        <rFont val="Calibri"/>
        <family val="2"/>
      </rPr>
      <t>²</t>
    </r>
  </si>
  <si>
    <r>
      <t>Precio 
construcción m</t>
    </r>
    <r>
      <rPr>
        <b/>
        <sz val="11"/>
        <color theme="1"/>
        <rFont val="Calibri"/>
        <family val="2"/>
      </rPr>
      <t>²</t>
    </r>
  </si>
  <si>
    <t>Porcentaje de utilidad IPEJAL Bruta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</si>
</sst>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* #,##0_-;\-* #,##0_-;_-* &quot;-&quot;??_-;_-@_-"/>
    <numFmt numFmtId="165" formatCode="_-&quot;$&quot;* #,##0_-;\-&quot;$&quot;* #,##0_-;_-&quot;$&quot;* &quot;-&quot;??_-;_-@_-"/>
    <numFmt numFmtId="166" formatCode="0_ ;\-0\ "/>
    <numFmt numFmtId="167" formatCode="_(* #,##0.00_);_(* \(#,##0.00\);_(* &quot;-&quot;??_);_(@_)"/>
    <numFmt numFmtId="168" formatCode="_(* #,##0_);_(* \(#,##0\);_(* &quot;-&quot;??_);_(@_)"/>
    <numFmt numFmtId="169" formatCode="0.0%"/>
    <numFmt numFmtId="170" formatCode="0.0000%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</font>
    <font>
      <sz val="11"/>
      <name val="Calibri"/>
      <family val="2"/>
      <scheme val="minor"/>
    </font>
    <font>
      <b/>
      <sz val="10"/>
      <name val="Arial"/>
      <family val="2"/>
    </font>
    <font>
      <b/>
      <sz val="8"/>
      <name val="Arial"/>
      <family val="2"/>
    </font>
    <font>
      <sz val="10"/>
      <name val="Arial"/>
      <family val="2"/>
    </font>
    <font>
      <b/>
      <sz val="11"/>
      <name val="Calibri"/>
      <family val="2"/>
      <scheme val="minor"/>
    </font>
    <font>
      <sz val="11"/>
      <color theme="4" tint="-0.499984740745262"/>
      <name val="Calibri"/>
      <family val="2"/>
      <scheme val="minor"/>
    </font>
    <font>
      <b/>
      <sz val="11"/>
      <name val="Arial"/>
      <family val="2"/>
    </font>
    <font>
      <b/>
      <sz val="16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b/>
      <sz val="11"/>
      <color theme="1"/>
      <name val="Calibri"/>
      <family val="2"/>
    </font>
    <font>
      <sz val="8"/>
      <name val="Arial"/>
      <family val="2"/>
    </font>
    <font>
      <sz val="11"/>
      <color theme="0"/>
      <name val="Calibri"/>
      <family val="2"/>
      <scheme val="minor"/>
    </font>
  </fonts>
  <fills count="15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97">
    <xf numFmtId="0" fontId="0" fillId="0" borderId="0" xfId="0"/>
    <xf numFmtId="0" fontId="6" fillId="0" borderId="0" xfId="0" applyFont="1"/>
    <xf numFmtId="44" fontId="0" fillId="0" borderId="0" xfId="2" applyFont="1"/>
    <xf numFmtId="9" fontId="0" fillId="0" borderId="0" xfId="3" applyFont="1"/>
    <xf numFmtId="10" fontId="0" fillId="0" borderId="0" xfId="3" applyNumberFormat="1" applyFont="1"/>
    <xf numFmtId="9" fontId="0" fillId="0" borderId="0" xfId="3" applyNumberFormat="1" applyFont="1"/>
    <xf numFmtId="0" fontId="0" fillId="2" borderId="0" xfId="0" applyFill="1"/>
    <xf numFmtId="164" fontId="0" fillId="2" borderId="0" xfId="1" applyNumberFormat="1" applyFont="1" applyFill="1"/>
    <xf numFmtId="0" fontId="0" fillId="0" borderId="0" xfId="0" applyFill="1"/>
    <xf numFmtId="0" fontId="3" fillId="0" borderId="0" xfId="0" applyFont="1" applyFill="1" applyAlignment="1">
      <alignment horizontal="center"/>
    </xf>
    <xf numFmtId="165" fontId="3" fillId="0" borderId="0" xfId="2" applyNumberFormat="1" applyFont="1" applyFill="1"/>
    <xf numFmtId="0" fontId="8" fillId="3" borderId="0" xfId="0" applyFont="1" applyFill="1"/>
    <xf numFmtId="9" fontId="8" fillId="0" borderId="0" xfId="3" applyFont="1" applyFill="1"/>
    <xf numFmtId="9" fontId="8" fillId="0" borderId="0" xfId="0" applyNumberFormat="1" applyFont="1" applyFill="1"/>
    <xf numFmtId="0" fontId="0" fillId="4" borderId="0" xfId="0" applyFill="1"/>
    <xf numFmtId="0" fontId="0" fillId="5" borderId="0" xfId="0" applyFill="1"/>
    <xf numFmtId="44" fontId="0" fillId="5" borderId="0" xfId="2" applyFont="1" applyFill="1"/>
    <xf numFmtId="0" fontId="0" fillId="0" borderId="1" xfId="0" applyBorder="1"/>
    <xf numFmtId="166" fontId="0" fillId="0" borderId="1" xfId="1" applyNumberFormat="1" applyFont="1" applyBorder="1"/>
    <xf numFmtId="9" fontId="0" fillId="0" borderId="1" xfId="3" applyFont="1" applyBorder="1"/>
    <xf numFmtId="0" fontId="3" fillId="0" borderId="0" xfId="0" applyFont="1" applyFill="1"/>
    <xf numFmtId="0" fontId="3" fillId="0" borderId="0" xfId="0" applyFont="1" applyAlignment="1">
      <alignment horizontal="center"/>
    </xf>
    <xf numFmtId="0" fontId="0" fillId="6" borderId="0" xfId="0" applyFill="1"/>
    <xf numFmtId="164" fontId="0" fillId="6" borderId="0" xfId="1" applyNumberFormat="1" applyFont="1" applyFill="1"/>
    <xf numFmtId="0" fontId="0" fillId="0" borderId="0" xfId="0" applyFill="1" applyBorder="1"/>
    <xf numFmtId="0" fontId="3" fillId="0" borderId="0" xfId="0" applyFont="1" applyFill="1" applyBorder="1" applyAlignment="1"/>
    <xf numFmtId="0" fontId="3" fillId="0" borderId="0" xfId="0" applyFont="1" applyFill="1" applyBorder="1"/>
    <xf numFmtId="0" fontId="0" fillId="0" borderId="0" xfId="0" applyBorder="1"/>
    <xf numFmtId="43" fontId="0" fillId="0" borderId="0" xfId="0" applyNumberFormat="1" applyFill="1" applyBorder="1"/>
    <xf numFmtId="43" fontId="0" fillId="0" borderId="0" xfId="1" applyFont="1" applyFill="1" applyBorder="1"/>
    <xf numFmtId="0" fontId="0" fillId="0" borderId="8" xfId="0" applyBorder="1"/>
    <xf numFmtId="0" fontId="11" fillId="0" borderId="0" xfId="0" applyFont="1" applyFill="1" applyBorder="1" applyAlignment="1">
      <alignment horizontal="left" wrapText="1"/>
    </xf>
    <xf numFmtId="167" fontId="0" fillId="0" borderId="0" xfId="0" applyNumberFormat="1" applyFill="1"/>
    <xf numFmtId="44" fontId="3" fillId="0" borderId="0" xfId="0" applyNumberFormat="1" applyFont="1" applyFill="1" applyAlignment="1">
      <alignment horizontal="center"/>
    </xf>
    <xf numFmtId="10" fontId="8" fillId="3" borderId="0" xfId="3" applyNumberFormat="1" applyFont="1" applyFill="1"/>
    <xf numFmtId="0" fontId="8" fillId="0" borderId="0" xfId="0" applyFont="1" applyFill="1"/>
    <xf numFmtId="10" fontId="8" fillId="0" borderId="0" xfId="3" applyNumberFormat="1" applyFont="1" applyFill="1"/>
    <xf numFmtId="10" fontId="0" fillId="0" borderId="0" xfId="3" applyNumberFormat="1" applyFont="1" applyFill="1"/>
    <xf numFmtId="164" fontId="0" fillId="0" borderId="0" xfId="1" applyNumberFormat="1" applyFont="1" applyFill="1"/>
    <xf numFmtId="9" fontId="0" fillId="0" borderId="0" xfId="3" applyFont="1" applyFill="1"/>
    <xf numFmtId="0" fontId="0" fillId="0" borderId="0" xfId="0" applyFont="1" applyFill="1"/>
    <xf numFmtId="0" fontId="3" fillId="0" borderId="3" xfId="0" applyFont="1" applyBorder="1"/>
    <xf numFmtId="0" fontId="3" fillId="0" borderId="4" xfId="0" applyFont="1" applyBorder="1"/>
    <xf numFmtId="0" fontId="3" fillId="0" borderId="5" xfId="0" applyFont="1" applyBorder="1"/>
    <xf numFmtId="0" fontId="3" fillId="0" borderId="0" xfId="0" applyFont="1" applyBorder="1"/>
    <xf numFmtId="0" fontId="11" fillId="10" borderId="0" xfId="0" applyFont="1" applyFill="1" applyBorder="1" applyAlignment="1">
      <alignment horizontal="left" wrapText="1"/>
    </xf>
    <xf numFmtId="44" fontId="3" fillId="10" borderId="0" xfId="0" applyNumberFormat="1" applyFont="1" applyFill="1"/>
    <xf numFmtId="0" fontId="0" fillId="0" borderId="11" xfId="0" applyBorder="1"/>
    <xf numFmtId="0" fontId="0" fillId="0" borderId="6" xfId="0" applyBorder="1"/>
    <xf numFmtId="0" fontId="0" fillId="0" borderId="0" xfId="0" applyFont="1" applyFill="1" applyBorder="1"/>
    <xf numFmtId="0" fontId="11" fillId="0" borderId="3" xfId="0" applyFont="1" applyFill="1" applyBorder="1" applyAlignment="1">
      <alignment horizontal="left" wrapText="1"/>
    </xf>
    <xf numFmtId="0" fontId="0" fillId="0" borderId="4" xfId="0" applyBorder="1"/>
    <xf numFmtId="0" fontId="0" fillId="0" borderId="5" xfId="0" applyBorder="1"/>
    <xf numFmtId="43" fontId="0" fillId="0" borderId="0" xfId="0" applyNumberFormat="1" applyBorder="1"/>
    <xf numFmtId="43" fontId="0" fillId="0" borderId="6" xfId="0" applyNumberFormat="1" applyBorder="1"/>
    <xf numFmtId="9" fontId="0" fillId="0" borderId="11" xfId="3" applyFont="1" applyBorder="1"/>
    <xf numFmtId="9" fontId="0" fillId="0" borderId="0" xfId="3" applyFont="1" applyBorder="1"/>
    <xf numFmtId="9" fontId="0" fillId="0" borderId="6" xfId="3" applyFont="1" applyBorder="1"/>
    <xf numFmtId="9" fontId="1" fillId="0" borderId="0" xfId="3" applyFont="1" applyFill="1" applyBorder="1"/>
    <xf numFmtId="43" fontId="0" fillId="0" borderId="12" xfId="1" applyFont="1" applyBorder="1"/>
    <xf numFmtId="43" fontId="0" fillId="0" borderId="2" xfId="1" applyFont="1" applyBorder="1"/>
    <xf numFmtId="43" fontId="0" fillId="0" borderId="13" xfId="1" applyFont="1" applyBorder="1"/>
    <xf numFmtId="43" fontId="0" fillId="0" borderId="0" xfId="1" applyFont="1" applyBorder="1"/>
    <xf numFmtId="43" fontId="1" fillId="0" borderId="0" xfId="1" applyFont="1" applyFill="1" applyBorder="1"/>
    <xf numFmtId="0" fontId="14" fillId="4" borderId="0" xfId="0" applyFont="1" applyFill="1" applyBorder="1" applyAlignment="1">
      <alignment horizontal="left" wrapText="1"/>
    </xf>
    <xf numFmtId="0" fontId="3" fillId="9" borderId="14" xfId="0" applyFont="1" applyFill="1" applyBorder="1" applyAlignment="1">
      <alignment horizontal="center"/>
    </xf>
    <xf numFmtId="43" fontId="3" fillId="9" borderId="11" xfId="1" applyFont="1" applyFill="1" applyBorder="1" applyAlignment="1">
      <alignment horizontal="center"/>
    </xf>
    <xf numFmtId="44" fontId="0" fillId="0" borderId="4" xfId="2" applyNumberFormat="1" applyFont="1" applyBorder="1"/>
    <xf numFmtId="43" fontId="0" fillId="0" borderId="11" xfId="1" applyFont="1" applyBorder="1"/>
    <xf numFmtId="0" fontId="11" fillId="10" borderId="3" xfId="0" applyFont="1" applyFill="1" applyBorder="1" applyAlignment="1">
      <alignment horizontal="left" wrapText="1"/>
    </xf>
    <xf numFmtId="44" fontId="3" fillId="10" borderId="5" xfId="0" applyNumberFormat="1" applyFont="1" applyFill="1" applyBorder="1"/>
    <xf numFmtId="10" fontId="3" fillId="9" borderId="11" xfId="3" applyNumberFormat="1" applyFont="1" applyFill="1" applyBorder="1" applyAlignment="1">
      <alignment horizontal="center"/>
    </xf>
    <xf numFmtId="44" fontId="0" fillId="0" borderId="5" xfId="2" applyFont="1" applyBorder="1"/>
    <xf numFmtId="0" fontId="0" fillId="0" borderId="12" xfId="0" applyBorder="1"/>
    <xf numFmtId="0" fontId="0" fillId="0" borderId="2" xfId="0" applyBorder="1"/>
    <xf numFmtId="0" fontId="0" fillId="0" borderId="13" xfId="0" applyBorder="1"/>
    <xf numFmtId="9" fontId="0" fillId="0" borderId="0" xfId="0" applyNumberFormat="1"/>
    <xf numFmtId="44" fontId="0" fillId="0" borderId="11" xfId="0" applyNumberFormat="1" applyBorder="1"/>
    <xf numFmtId="44" fontId="0" fillId="0" borderId="0" xfId="0" applyNumberFormat="1" applyBorder="1"/>
    <xf numFmtId="44" fontId="0" fillId="0" borderId="6" xfId="0" applyNumberFormat="1" applyBorder="1"/>
    <xf numFmtId="0" fontId="8" fillId="8" borderId="0" xfId="0" applyFont="1" applyFill="1"/>
    <xf numFmtId="44" fontId="8" fillId="8" borderId="0" xfId="3" applyNumberFormat="1" applyFont="1" applyFill="1"/>
    <xf numFmtId="0" fontId="15" fillId="0" borderId="0" xfId="0" applyFont="1"/>
    <xf numFmtId="44" fontId="0" fillId="0" borderId="4" xfId="2" applyFont="1" applyBorder="1"/>
    <xf numFmtId="43" fontId="0" fillId="0" borderId="11" xfId="0" applyNumberFormat="1" applyBorder="1"/>
    <xf numFmtId="0" fontId="3" fillId="11" borderId="3" xfId="0" applyFont="1" applyFill="1" applyBorder="1"/>
    <xf numFmtId="0" fontId="16" fillId="11" borderId="0" xfId="0" applyFont="1" applyFill="1"/>
    <xf numFmtId="0" fontId="0" fillId="11" borderId="0" xfId="0" applyFill="1"/>
    <xf numFmtId="0" fontId="0" fillId="11" borderId="0" xfId="0" applyFill="1" applyBorder="1"/>
    <xf numFmtId="0" fontId="4" fillId="0" borderId="14" xfId="0" applyFont="1" applyBorder="1"/>
    <xf numFmtId="0" fontId="5" fillId="12" borderId="15" xfId="0" applyFont="1" applyFill="1" applyBorder="1" applyAlignment="1">
      <alignment horizontal="center"/>
    </xf>
    <xf numFmtId="0" fontId="5" fillId="12" borderId="16" xfId="0" applyFont="1" applyFill="1" applyBorder="1" applyAlignment="1">
      <alignment horizontal="center"/>
    </xf>
    <xf numFmtId="0" fontId="5" fillId="0" borderId="17" xfId="0" applyFont="1" applyBorder="1"/>
    <xf numFmtId="0" fontId="4" fillId="0" borderId="18" xfId="0" applyFont="1" applyBorder="1"/>
    <xf numFmtId="44" fontId="4" fillId="0" borderId="19" xfId="2" applyFont="1" applyBorder="1"/>
    <xf numFmtId="0" fontId="5" fillId="0" borderId="20" xfId="0" applyFont="1" applyBorder="1"/>
    <xf numFmtId="10" fontId="4" fillId="0" borderId="21" xfId="0" applyNumberFormat="1" applyFont="1" applyBorder="1"/>
    <xf numFmtId="0" fontId="4" fillId="0" borderId="22" xfId="0" applyFont="1" applyBorder="1"/>
    <xf numFmtId="0" fontId="18" fillId="0" borderId="0" xfId="0" applyFont="1" applyFill="1" applyBorder="1"/>
    <xf numFmtId="0" fontId="5" fillId="0" borderId="23" xfId="0" applyFont="1" applyBorder="1"/>
    <xf numFmtId="10" fontId="4" fillId="0" borderId="24" xfId="0" applyNumberFormat="1" applyFont="1" applyBorder="1"/>
    <xf numFmtId="44" fontId="4" fillId="0" borderId="25" xfId="0" applyNumberFormat="1" applyFont="1" applyBorder="1"/>
    <xf numFmtId="0" fontId="0" fillId="14" borderId="0" xfId="0" applyFill="1"/>
    <xf numFmtId="164" fontId="0" fillId="14" borderId="0" xfId="1" applyNumberFormat="1" applyFont="1" applyFill="1"/>
    <xf numFmtId="44" fontId="0" fillId="14" borderId="0" xfId="2" applyFont="1" applyFill="1"/>
    <xf numFmtId="0" fontId="3" fillId="2" borderId="0" xfId="0" applyFont="1" applyFill="1"/>
    <xf numFmtId="164" fontId="3" fillId="2" borderId="0" xfId="1" applyNumberFormat="1" applyFont="1" applyFill="1"/>
    <xf numFmtId="0" fontId="3" fillId="2" borderId="0" xfId="0" applyFont="1" applyFill="1" applyAlignment="1">
      <alignment horizontal="center"/>
    </xf>
    <xf numFmtId="44" fontId="0" fillId="0" borderId="0" xfId="2" applyFont="1" applyFill="1"/>
    <xf numFmtId="44" fontId="0" fillId="0" borderId="0" xfId="0" applyNumberFormat="1"/>
    <xf numFmtId="0" fontId="0" fillId="0" borderId="0" xfId="0" applyAlignment="1">
      <alignment horizontal="center"/>
    </xf>
    <xf numFmtId="44" fontId="0" fillId="0" borderId="0" xfId="2" applyNumberFormat="1" applyFont="1"/>
    <xf numFmtId="10" fontId="0" fillId="14" borderId="0" xfId="3" applyNumberFormat="1" applyFont="1" applyFill="1"/>
    <xf numFmtId="169" fontId="0" fillId="0" borderId="0" xfId="3" applyNumberFormat="1" applyFont="1" applyFill="1" applyBorder="1"/>
    <xf numFmtId="167" fontId="1" fillId="0" borderId="0" xfId="1" applyNumberFormat="1" applyBorder="1"/>
    <xf numFmtId="169" fontId="1" fillId="0" borderId="0" xfId="3" applyNumberFormat="1" applyBorder="1"/>
    <xf numFmtId="168" fontId="1" fillId="0" borderId="0" xfId="1" applyNumberFormat="1" applyBorder="1"/>
    <xf numFmtId="167" fontId="0" fillId="0" borderId="0" xfId="0" applyNumberFormat="1" applyBorder="1"/>
    <xf numFmtId="44" fontId="0" fillId="0" borderId="0" xfId="2" applyFont="1" applyBorder="1"/>
    <xf numFmtId="0" fontId="3" fillId="0" borderId="0" xfId="0" applyFont="1"/>
    <xf numFmtId="44" fontId="0" fillId="0" borderId="1" xfId="2" applyFont="1" applyBorder="1"/>
    <xf numFmtId="43" fontId="0" fillId="0" borderId="1" xfId="1" applyFont="1" applyBorder="1"/>
    <xf numFmtId="9" fontId="0" fillId="0" borderId="1" xfId="0" applyNumberFormat="1" applyBorder="1"/>
    <xf numFmtId="10" fontId="0" fillId="0" borderId="1" xfId="0" applyNumberFormat="1" applyBorder="1"/>
    <xf numFmtId="9" fontId="0" fillId="0" borderId="26" xfId="0" applyNumberFormat="1" applyBorder="1"/>
    <xf numFmtId="0" fontId="0" fillId="0" borderId="26" xfId="0" applyBorder="1"/>
    <xf numFmtId="43" fontId="0" fillId="0" borderId="27" xfId="1" applyFont="1" applyBorder="1"/>
    <xf numFmtId="9" fontId="0" fillId="0" borderId="27" xfId="0" applyNumberFormat="1" applyBorder="1"/>
    <xf numFmtId="44" fontId="0" fillId="0" borderId="27" xfId="2" applyFont="1" applyBorder="1"/>
    <xf numFmtId="9" fontId="0" fillId="0" borderId="28" xfId="0" applyNumberFormat="1" applyBorder="1"/>
    <xf numFmtId="0" fontId="0" fillId="0" borderId="34" xfId="0" applyBorder="1"/>
    <xf numFmtId="0" fontId="0" fillId="0" borderId="7" xfId="0" applyBorder="1"/>
    <xf numFmtId="43" fontId="0" fillId="0" borderId="7" xfId="1" applyFont="1" applyBorder="1"/>
    <xf numFmtId="0" fontId="3" fillId="0" borderId="35" xfId="0" applyFont="1" applyBorder="1" applyAlignment="1">
      <alignment horizontal="center" vertical="center"/>
    </xf>
    <xf numFmtId="0" fontId="0" fillId="0" borderId="36" xfId="0" applyBorder="1"/>
    <xf numFmtId="0" fontId="0" fillId="0" borderId="37" xfId="0" applyBorder="1"/>
    <xf numFmtId="44" fontId="0" fillId="0" borderId="29" xfId="2" applyFont="1" applyBorder="1"/>
    <xf numFmtId="43" fontId="0" fillId="0" borderId="29" xfId="1" applyFont="1" applyBorder="1"/>
    <xf numFmtId="9" fontId="0" fillId="0" borderId="29" xfId="0" applyNumberFormat="1" applyBorder="1"/>
    <xf numFmtId="10" fontId="0" fillId="0" borderId="29" xfId="0" applyNumberFormat="1" applyBorder="1"/>
    <xf numFmtId="9" fontId="0" fillId="0" borderId="30" xfId="0" applyNumberFormat="1" applyBorder="1"/>
    <xf numFmtId="0" fontId="0" fillId="0" borderId="31" xfId="0" applyBorder="1"/>
    <xf numFmtId="9" fontId="0" fillId="0" borderId="32" xfId="3" applyFont="1" applyBorder="1"/>
    <xf numFmtId="0" fontId="3" fillId="0" borderId="32" xfId="0" applyFont="1" applyFill="1" applyBorder="1" applyAlignment="1">
      <alignment horizontal="center" vertical="center" wrapText="1"/>
    </xf>
    <xf numFmtId="0" fontId="3" fillId="0" borderId="32" xfId="0" applyFont="1" applyBorder="1" applyAlignment="1">
      <alignment horizontal="center" vertical="center"/>
    </xf>
    <xf numFmtId="0" fontId="3" fillId="0" borderId="32" xfId="0" applyFont="1" applyBorder="1" applyAlignment="1">
      <alignment horizontal="center" vertical="center" wrapText="1"/>
    </xf>
    <xf numFmtId="0" fontId="3" fillId="0" borderId="33" xfId="0" applyFont="1" applyBorder="1" applyAlignment="1">
      <alignment horizontal="center" vertical="center"/>
    </xf>
    <xf numFmtId="0" fontId="20" fillId="0" borderId="0" xfId="0" applyFont="1" applyBorder="1" applyAlignment="1">
      <alignment horizontal="center"/>
    </xf>
    <xf numFmtId="44" fontId="0" fillId="0" borderId="0" xfId="2" applyFont="1" applyFill="1" applyBorder="1"/>
    <xf numFmtId="44" fontId="1" fillId="0" borderId="0" xfId="2" applyBorder="1"/>
    <xf numFmtId="167" fontId="3" fillId="0" borderId="0" xfId="1" applyNumberFormat="1" applyFont="1" applyBorder="1"/>
    <xf numFmtId="43" fontId="3" fillId="0" borderId="0" xfId="0" applyNumberFormat="1" applyFont="1" applyFill="1" applyBorder="1"/>
    <xf numFmtId="44" fontId="3" fillId="0" borderId="0" xfId="2" applyFont="1" applyBorder="1"/>
    <xf numFmtId="43" fontId="3" fillId="0" borderId="0" xfId="1" applyFont="1" applyFill="1" applyBorder="1"/>
    <xf numFmtId="44" fontId="3" fillId="0" borderId="0" xfId="2" applyFont="1" applyFill="1" applyBorder="1"/>
    <xf numFmtId="0" fontId="5" fillId="0" borderId="0" xfId="0" applyFont="1"/>
    <xf numFmtId="9" fontId="0" fillId="0" borderId="0" xfId="0" applyNumberFormat="1" applyFill="1" applyBorder="1"/>
    <xf numFmtId="9" fontId="1" fillId="0" borderId="0" xfId="2" applyNumberFormat="1" applyBorder="1"/>
    <xf numFmtId="170" fontId="1" fillId="0" borderId="0" xfId="3" applyNumberFormat="1" applyBorder="1"/>
    <xf numFmtId="10" fontId="1" fillId="0" borderId="0" xfId="2" applyNumberFormat="1" applyBorder="1"/>
    <xf numFmtId="44" fontId="1" fillId="0" borderId="0" xfId="2" applyFill="1" applyBorder="1"/>
    <xf numFmtId="0" fontId="0" fillId="0" borderId="9" xfId="0" applyBorder="1"/>
    <xf numFmtId="0" fontId="0" fillId="0" borderId="10" xfId="0" applyBorder="1"/>
    <xf numFmtId="0" fontId="10" fillId="0" borderId="11" xfId="0" applyFont="1" applyBorder="1" applyAlignment="1">
      <alignment horizontal="center"/>
    </xf>
    <xf numFmtId="0" fontId="20" fillId="0" borderId="11" xfId="0" applyFont="1" applyBorder="1" applyAlignment="1">
      <alignment horizontal="center"/>
    </xf>
    <xf numFmtId="0" fontId="0" fillId="0" borderId="0" xfId="0" applyFont="1" applyBorder="1" applyAlignment="1">
      <alignment horizontal="center"/>
    </xf>
    <xf numFmtId="0" fontId="0" fillId="6" borderId="6" xfId="0" applyFill="1" applyBorder="1" applyAlignment="1">
      <alignment horizontal="center"/>
    </xf>
    <xf numFmtId="0" fontId="20" fillId="0" borderId="12" xfId="0" applyFont="1" applyBorder="1" applyAlignment="1">
      <alignment horizontal="center"/>
    </xf>
    <xf numFmtId="0" fontId="0" fillId="0" borderId="2" xfId="0" applyFont="1" applyBorder="1" applyAlignment="1">
      <alignment horizontal="center"/>
    </xf>
    <xf numFmtId="0" fontId="20" fillId="0" borderId="2" xfId="0" applyFont="1" applyBorder="1" applyAlignment="1">
      <alignment horizontal="center"/>
    </xf>
    <xf numFmtId="0" fontId="0" fillId="6" borderId="13" xfId="0" applyFill="1" applyBorder="1"/>
    <xf numFmtId="0" fontId="10" fillId="0" borderId="14" xfId="0" applyFont="1" applyFill="1" applyBorder="1" applyAlignment="1">
      <alignment horizontal="center"/>
    </xf>
    <xf numFmtId="0" fontId="0" fillId="0" borderId="6" xfId="0" applyFont="1" applyBorder="1" applyAlignment="1">
      <alignment horizontal="center"/>
    </xf>
    <xf numFmtId="0" fontId="0" fillId="0" borderId="13" xfId="0" applyFont="1" applyBorder="1" applyAlignment="1">
      <alignment horizontal="center"/>
    </xf>
    <xf numFmtId="0" fontId="10" fillId="0" borderId="14" xfId="0" applyFont="1" applyBorder="1" applyAlignment="1">
      <alignment horizontal="center"/>
    </xf>
    <xf numFmtId="0" fontId="0" fillId="0" borderId="9" xfId="0" applyFill="1" applyBorder="1"/>
    <xf numFmtId="0" fontId="0" fillId="0" borderId="14" xfId="0" applyBorder="1"/>
    <xf numFmtId="0" fontId="9" fillId="0" borderId="38" xfId="0" applyFont="1" applyBorder="1" applyAlignment="1">
      <alignment horizontal="center"/>
    </xf>
    <xf numFmtId="0" fontId="11" fillId="0" borderId="11" xfId="0" applyFont="1" applyBorder="1" applyAlignment="1">
      <alignment horizontal="center"/>
    </xf>
    <xf numFmtId="0" fontId="11" fillId="0" borderId="39" xfId="0" applyFont="1" applyBorder="1" applyAlignment="1">
      <alignment horizontal="left" wrapText="1"/>
    </xf>
    <xf numFmtId="0" fontId="0" fillId="6" borderId="6" xfId="0" applyFill="1" applyBorder="1"/>
    <xf numFmtId="0" fontId="11" fillId="0" borderId="11" xfId="0" applyFont="1" applyBorder="1" applyAlignment="1">
      <alignment horizontal="left" wrapText="1"/>
    </xf>
    <xf numFmtId="10" fontId="0" fillId="0" borderId="0" xfId="0" applyNumberFormat="1" applyBorder="1"/>
    <xf numFmtId="170" fontId="0" fillId="0" borderId="0" xfId="3" applyNumberFormat="1" applyFont="1" applyBorder="1"/>
    <xf numFmtId="0" fontId="9" fillId="0" borderId="11" xfId="0" applyFont="1" applyBorder="1" applyAlignment="1">
      <alignment horizontal="left" wrapText="1"/>
    </xf>
    <xf numFmtId="0" fontId="3" fillId="6" borderId="6" xfId="0" applyFont="1" applyFill="1" applyBorder="1"/>
    <xf numFmtId="0" fontId="9" fillId="0" borderId="40" xfId="0" applyFont="1" applyBorder="1" applyAlignment="1">
      <alignment horizontal="left" wrapText="1"/>
    </xf>
    <xf numFmtId="0" fontId="0" fillId="0" borderId="41" xfId="0" applyBorder="1"/>
    <xf numFmtId="167" fontId="2" fillId="7" borderId="2" xfId="1" applyNumberFormat="1" applyFont="1" applyFill="1" applyBorder="1"/>
    <xf numFmtId="167" fontId="2" fillId="0" borderId="2" xfId="1" applyNumberFormat="1" applyFont="1" applyFill="1" applyBorder="1"/>
    <xf numFmtId="167" fontId="8" fillId="0" borderId="2" xfId="1" applyNumberFormat="1" applyFont="1" applyFill="1" applyBorder="1"/>
    <xf numFmtId="0" fontId="9" fillId="8" borderId="12" xfId="0" applyFont="1" applyFill="1" applyBorder="1" applyAlignment="1">
      <alignment horizontal="left" wrapText="1"/>
    </xf>
    <xf numFmtId="44" fontId="3" fillId="8" borderId="2" xfId="2" applyFont="1" applyFill="1" applyBorder="1"/>
    <xf numFmtId="44" fontId="3" fillId="6" borderId="13" xfId="0" applyNumberFormat="1" applyFont="1" applyFill="1" applyBorder="1"/>
    <xf numFmtId="10" fontId="1" fillId="0" borderId="11" xfId="2" applyNumberFormat="1" applyBorder="1"/>
    <xf numFmtId="10" fontId="1" fillId="0" borderId="6" xfId="2" applyNumberFormat="1" applyBorder="1"/>
    <xf numFmtId="44" fontId="3" fillId="0" borderId="11" xfId="2" applyFont="1" applyBorder="1"/>
    <xf numFmtId="44" fontId="3" fillId="0" borderId="6" xfId="2" applyFont="1" applyBorder="1"/>
    <xf numFmtId="44" fontId="0" fillId="0" borderId="11" xfId="2" applyFont="1" applyBorder="1"/>
    <xf numFmtId="44" fontId="0" fillId="0" borderId="6" xfId="2" applyFont="1" applyBorder="1"/>
    <xf numFmtId="44" fontId="1" fillId="0" borderId="11" xfId="2" applyBorder="1"/>
    <xf numFmtId="44" fontId="1" fillId="0" borderId="6" xfId="2" applyBorder="1"/>
    <xf numFmtId="44" fontId="3" fillId="0" borderId="11" xfId="2" applyFont="1" applyFill="1" applyBorder="1"/>
    <xf numFmtId="44" fontId="3" fillId="0" borderId="6" xfId="2" applyFont="1" applyFill="1" applyBorder="1"/>
    <xf numFmtId="44" fontId="3" fillId="8" borderId="12" xfId="2" applyFont="1" applyFill="1" applyBorder="1"/>
    <xf numFmtId="44" fontId="3" fillId="8" borderId="13" xfId="2" applyFont="1" applyFill="1" applyBorder="1"/>
    <xf numFmtId="167" fontId="8" fillId="0" borderId="12" xfId="1" applyNumberFormat="1" applyFont="1" applyFill="1" applyBorder="1"/>
    <xf numFmtId="167" fontId="8" fillId="0" borderId="13" xfId="1" applyNumberFormat="1" applyFont="1" applyFill="1" applyBorder="1"/>
    <xf numFmtId="10" fontId="0" fillId="0" borderId="11" xfId="0" applyNumberFormat="1" applyBorder="1"/>
    <xf numFmtId="170" fontId="0" fillId="0" borderId="11" xfId="3" applyNumberFormat="1" applyFont="1" applyBorder="1"/>
    <xf numFmtId="170" fontId="1" fillId="0" borderId="11" xfId="3" applyNumberFormat="1" applyBorder="1"/>
    <xf numFmtId="167" fontId="1" fillId="0" borderId="14" xfId="1" applyNumberFormat="1" applyBorder="1"/>
    <xf numFmtId="167" fontId="1" fillId="0" borderId="9" xfId="1" applyNumberFormat="1" applyBorder="1"/>
    <xf numFmtId="0" fontId="0" fillId="0" borderId="10" xfId="0" applyFill="1" applyBorder="1"/>
    <xf numFmtId="169" fontId="1" fillId="0" borderId="11" xfId="3" applyNumberFormat="1" applyBorder="1"/>
    <xf numFmtId="0" fontId="0" fillId="0" borderId="6" xfId="0" applyFill="1" applyBorder="1"/>
    <xf numFmtId="167" fontId="1" fillId="0" borderId="11" xfId="1" applyNumberFormat="1" applyBorder="1"/>
    <xf numFmtId="168" fontId="1" fillId="0" borderId="11" xfId="1" applyNumberFormat="1" applyBorder="1"/>
    <xf numFmtId="43" fontId="0" fillId="0" borderId="6" xfId="0" applyNumberFormat="1" applyFill="1" applyBorder="1"/>
    <xf numFmtId="168" fontId="3" fillId="0" borderId="11" xfId="1" applyNumberFormat="1" applyFont="1" applyBorder="1"/>
    <xf numFmtId="43" fontId="3" fillId="0" borderId="6" xfId="0" applyNumberFormat="1" applyFont="1" applyFill="1" applyBorder="1"/>
    <xf numFmtId="43" fontId="0" fillId="0" borderId="6" xfId="1" applyFont="1" applyFill="1" applyBorder="1"/>
    <xf numFmtId="43" fontId="3" fillId="0" borderId="6" xfId="1" applyFont="1" applyFill="1" applyBorder="1"/>
    <xf numFmtId="43" fontId="3" fillId="0" borderId="11" xfId="0" applyNumberFormat="1" applyFont="1" applyFill="1" applyBorder="1"/>
    <xf numFmtId="167" fontId="2" fillId="7" borderId="12" xfId="1" applyNumberFormat="1" applyFont="1" applyFill="1" applyBorder="1"/>
    <xf numFmtId="167" fontId="2" fillId="7" borderId="13" xfId="1" applyNumberFormat="1" applyFont="1" applyFill="1" applyBorder="1"/>
    <xf numFmtId="44" fontId="3" fillId="11" borderId="4" xfId="2" applyFont="1" applyFill="1" applyBorder="1"/>
    <xf numFmtId="0" fontId="3" fillId="0" borderId="14" xfId="0" applyFont="1" applyBorder="1"/>
    <xf numFmtId="0" fontId="3" fillId="0" borderId="9" xfId="0" applyFont="1" applyBorder="1"/>
    <xf numFmtId="0" fontId="3" fillId="0" borderId="10" xfId="0" applyFont="1" applyBorder="1"/>
    <xf numFmtId="43" fontId="0" fillId="0" borderId="6" xfId="1" applyFont="1" applyBorder="1"/>
    <xf numFmtId="0" fontId="21" fillId="0" borderId="0" xfId="0" applyFont="1"/>
    <xf numFmtId="44" fontId="21" fillId="0" borderId="0" xfId="0" applyNumberFormat="1" applyFont="1"/>
    <xf numFmtId="10" fontId="21" fillId="0" borderId="0" xfId="3" applyNumberFormat="1" applyFont="1"/>
    <xf numFmtId="9" fontId="21" fillId="0" borderId="0" xfId="3" applyFont="1"/>
    <xf numFmtId="44" fontId="21" fillId="0" borderId="0" xfId="2" applyFont="1"/>
    <xf numFmtId="9" fontId="21" fillId="0" borderId="0" xfId="3" applyFont="1" applyFill="1" applyBorder="1"/>
    <xf numFmtId="44" fontId="21" fillId="0" borderId="0" xfId="2" applyFont="1" applyFill="1" applyBorder="1"/>
    <xf numFmtId="0" fontId="21" fillId="0" borderId="0" xfId="0" applyFont="1" applyFill="1" applyBorder="1"/>
    <xf numFmtId="44" fontId="21" fillId="0" borderId="0" xfId="0" applyNumberFormat="1" applyFont="1" applyFill="1" applyBorder="1"/>
    <xf numFmtId="10" fontId="21" fillId="0" borderId="0" xfId="3" applyNumberFormat="1" applyFont="1" applyFill="1" applyBorder="1"/>
    <xf numFmtId="44" fontId="3" fillId="0" borderId="0" xfId="2" applyFont="1"/>
    <xf numFmtId="0" fontId="12" fillId="3" borderId="0" xfId="0" applyFont="1" applyFill="1"/>
    <xf numFmtId="10" fontId="12" fillId="3" borderId="0" xfId="3" applyNumberFormat="1" applyFont="1" applyFill="1"/>
    <xf numFmtId="0" fontId="12" fillId="14" borderId="0" xfId="0" applyFont="1" applyFill="1"/>
    <xf numFmtId="44" fontId="12" fillId="14" borderId="0" xfId="3" applyNumberFormat="1" applyFont="1" applyFill="1"/>
    <xf numFmtId="0" fontId="3" fillId="11" borderId="3" xfId="0" applyFont="1" applyFill="1" applyBorder="1" applyAlignment="1">
      <alignment horizontal="center" vertical="center"/>
    </xf>
    <xf numFmtId="0" fontId="3" fillId="11" borderId="4" xfId="0" applyFont="1" applyFill="1" applyBorder="1" applyAlignment="1">
      <alignment horizontal="center" vertical="center"/>
    </xf>
    <xf numFmtId="9" fontId="0" fillId="11" borderId="4" xfId="3" applyFont="1" applyFill="1" applyBorder="1" applyAlignment="1">
      <alignment horizontal="center" vertical="center"/>
    </xf>
    <xf numFmtId="0" fontId="0" fillId="11" borderId="4" xfId="0" applyFill="1" applyBorder="1" applyAlignment="1">
      <alignment horizontal="center" vertical="center"/>
    </xf>
    <xf numFmtId="0" fontId="3" fillId="11" borderId="5" xfId="0" applyFont="1" applyFill="1" applyBorder="1" applyAlignment="1">
      <alignment horizontal="center" vertical="center" wrapText="1"/>
    </xf>
    <xf numFmtId="0" fontId="0" fillId="11" borderId="11" xfId="0" applyFill="1" applyBorder="1"/>
    <xf numFmtId="44" fontId="0" fillId="11" borderId="0" xfId="2" applyFont="1" applyFill="1" applyBorder="1"/>
    <xf numFmtId="44" fontId="0" fillId="11" borderId="0" xfId="2" applyNumberFormat="1" applyFont="1" applyFill="1" applyBorder="1"/>
    <xf numFmtId="0" fontId="0" fillId="11" borderId="6" xfId="0" applyFill="1" applyBorder="1"/>
    <xf numFmtId="0" fontId="3" fillId="11" borderId="11" xfId="0" applyFont="1" applyFill="1" applyBorder="1"/>
    <xf numFmtId="44" fontId="3" fillId="11" borderId="0" xfId="2" applyFont="1" applyFill="1" applyBorder="1"/>
    <xf numFmtId="0" fontId="0" fillId="11" borderId="12" xfId="0" applyFill="1" applyBorder="1"/>
    <xf numFmtId="44" fontId="0" fillId="11" borderId="2" xfId="2" applyFont="1" applyFill="1" applyBorder="1"/>
    <xf numFmtId="44" fontId="0" fillId="11" borderId="2" xfId="2" applyNumberFormat="1" applyFont="1" applyFill="1" applyBorder="1"/>
    <xf numFmtId="0" fontId="0" fillId="11" borderId="2" xfId="0" applyFill="1" applyBorder="1"/>
    <xf numFmtId="0" fontId="0" fillId="11" borderId="13" xfId="0" applyFill="1" applyBorder="1"/>
    <xf numFmtId="0" fontId="3" fillId="14" borderId="12" xfId="0" applyFont="1" applyFill="1" applyBorder="1"/>
    <xf numFmtId="0" fontId="3" fillId="14" borderId="2" xfId="0" applyFont="1" applyFill="1" applyBorder="1"/>
    <xf numFmtId="44" fontId="3" fillId="14" borderId="2" xfId="2" applyFont="1" applyFill="1" applyBorder="1"/>
    <xf numFmtId="44" fontId="3" fillId="14" borderId="2" xfId="3" applyNumberFormat="1" applyFont="1" applyFill="1" applyBorder="1"/>
    <xf numFmtId="0" fontId="0" fillId="14" borderId="2" xfId="0" applyFill="1" applyBorder="1"/>
    <xf numFmtId="44" fontId="3" fillId="14" borderId="13" xfId="0" applyNumberFormat="1" applyFont="1" applyFill="1" applyBorder="1"/>
    <xf numFmtId="0" fontId="0" fillId="11" borderId="14" xfId="0" applyFill="1" applyBorder="1"/>
    <xf numFmtId="44" fontId="0" fillId="11" borderId="9" xfId="2" applyFont="1" applyFill="1" applyBorder="1"/>
    <xf numFmtId="44" fontId="0" fillId="11" borderId="9" xfId="2" applyNumberFormat="1" applyFont="1" applyFill="1" applyBorder="1"/>
    <xf numFmtId="0" fontId="0" fillId="11" borderId="9" xfId="0" applyFill="1" applyBorder="1"/>
    <xf numFmtId="0" fontId="0" fillId="11" borderId="10" xfId="0" applyFill="1" applyBorder="1"/>
    <xf numFmtId="0" fontId="3" fillId="11" borderId="12" xfId="0" applyFont="1" applyFill="1" applyBorder="1"/>
    <xf numFmtId="44" fontId="3" fillId="11" borderId="2" xfId="2" applyFont="1" applyFill="1" applyBorder="1"/>
    <xf numFmtId="44" fontId="3" fillId="11" borderId="2" xfId="2" applyNumberFormat="1" applyFont="1" applyFill="1" applyBorder="1"/>
    <xf numFmtId="44" fontId="3" fillId="11" borderId="13" xfId="2" applyFont="1" applyFill="1" applyBorder="1"/>
    <xf numFmtId="0" fontId="6" fillId="13" borderId="0" xfId="0" applyFont="1" applyFill="1" applyAlignment="1">
      <alignment horizontal="center"/>
    </xf>
    <xf numFmtId="0" fontId="3" fillId="11" borderId="3" xfId="0" applyFont="1" applyFill="1" applyBorder="1" applyAlignment="1">
      <alignment horizontal="center"/>
    </xf>
    <xf numFmtId="0" fontId="3" fillId="11" borderId="4" xfId="0" applyFont="1" applyFill="1" applyBorder="1" applyAlignment="1">
      <alignment horizontal="center"/>
    </xf>
    <xf numFmtId="0" fontId="3" fillId="11" borderId="5" xfId="0" applyFont="1" applyFill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3" xfId="0" applyFont="1" applyFill="1" applyBorder="1" applyAlignment="1">
      <alignment horizontal="center"/>
    </xf>
    <xf numFmtId="0" fontId="3" fillId="0" borderId="4" xfId="0" applyFont="1" applyFill="1" applyBorder="1" applyAlignment="1">
      <alignment horizontal="center"/>
    </xf>
    <xf numFmtId="0" fontId="3" fillId="0" borderId="5" xfId="0" applyFont="1" applyFill="1" applyBorder="1" applyAlignment="1">
      <alignment horizontal="center"/>
    </xf>
    <xf numFmtId="0" fontId="12" fillId="0" borderId="0" xfId="0" applyFont="1" applyFill="1" applyBorder="1" applyAlignment="1">
      <alignment horizontal="center"/>
    </xf>
    <xf numFmtId="0" fontId="3" fillId="0" borderId="31" xfId="0" applyFont="1" applyBorder="1" applyAlignment="1">
      <alignment horizontal="center"/>
    </xf>
    <xf numFmtId="0" fontId="3" fillId="0" borderId="32" xfId="0" applyFont="1" applyBorder="1" applyAlignment="1">
      <alignment horizontal="center"/>
    </xf>
    <xf numFmtId="0" fontId="3" fillId="0" borderId="33" xfId="0" applyFont="1" applyBorder="1" applyAlignment="1">
      <alignment horizontal="center"/>
    </xf>
    <xf numFmtId="0" fontId="15" fillId="11" borderId="14" xfId="0" applyFont="1" applyFill="1" applyBorder="1" applyAlignment="1">
      <alignment horizontal="center" vertical="center"/>
    </xf>
    <xf numFmtId="0" fontId="15" fillId="11" borderId="9" xfId="0" applyFont="1" applyFill="1" applyBorder="1" applyAlignment="1">
      <alignment horizontal="center" vertical="center"/>
    </xf>
    <xf numFmtId="0" fontId="15" fillId="11" borderId="10" xfId="0" applyFont="1" applyFill="1" applyBorder="1" applyAlignment="1">
      <alignment horizontal="center" vertical="center"/>
    </xf>
    <xf numFmtId="0" fontId="15" fillId="11" borderId="12" xfId="0" applyFont="1" applyFill="1" applyBorder="1" applyAlignment="1">
      <alignment horizontal="center" vertical="center"/>
    </xf>
    <xf numFmtId="0" fontId="15" fillId="11" borderId="2" xfId="0" applyFont="1" applyFill="1" applyBorder="1" applyAlignment="1">
      <alignment horizontal="center" vertical="center"/>
    </xf>
    <xf numFmtId="0" fontId="15" fillId="11" borderId="13" xfId="0" applyFont="1" applyFill="1" applyBorder="1" applyAlignment="1">
      <alignment horizontal="center" vertical="center"/>
    </xf>
  </cellXfs>
  <cellStyles count="4">
    <cellStyle name="Millares" xfId="1" builtinId="3"/>
    <cellStyle name="Moneda" xfId="2" builtinId="4"/>
    <cellStyle name="Normal" xfId="0" builtinId="0"/>
    <cellStyle name="Porcentaje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6"/>
  <sheetViews>
    <sheetView topLeftCell="A13" workbookViewId="0">
      <selection activeCell="D31" sqref="D31"/>
    </sheetView>
  </sheetViews>
  <sheetFormatPr baseColWidth="10" defaultRowHeight="14.4" x14ac:dyDescent="0.3"/>
  <cols>
    <col min="1" max="1" width="24.77734375" bestFit="1" customWidth="1"/>
    <col min="2" max="2" width="21" customWidth="1"/>
    <col min="3" max="3" width="16.33203125" customWidth="1"/>
    <col min="4" max="4" width="16.109375" bestFit="1" customWidth="1"/>
    <col min="5" max="5" width="11.88671875" bestFit="1" customWidth="1"/>
    <col min="6" max="6" width="14.88671875" customWidth="1"/>
  </cols>
  <sheetData>
    <row r="1" spans="1:10" ht="18" x14ac:dyDescent="0.35">
      <c r="A1" s="277" t="s">
        <v>55</v>
      </c>
      <c r="B1" s="277"/>
      <c r="C1" s="277"/>
      <c r="D1" s="277"/>
      <c r="E1" s="277"/>
    </row>
    <row r="2" spans="1:10" ht="18" x14ac:dyDescent="0.35">
      <c r="A2" s="1"/>
    </row>
    <row r="3" spans="1:10" x14ac:dyDescent="0.3">
      <c r="E3" s="21"/>
      <c r="F3" s="21" t="s">
        <v>53</v>
      </c>
    </row>
    <row r="4" spans="1:10" x14ac:dyDescent="0.3">
      <c r="A4" s="102" t="s">
        <v>59</v>
      </c>
      <c r="B4" s="102" t="s">
        <v>0</v>
      </c>
      <c r="C4" s="102"/>
      <c r="D4" s="104">
        <v>10732900</v>
      </c>
      <c r="E4" s="112"/>
      <c r="F4" s="103">
        <v>1084</v>
      </c>
    </row>
    <row r="5" spans="1:10" ht="15" thickBot="1" x14ac:dyDescent="0.35">
      <c r="A5" s="102" t="s">
        <v>58</v>
      </c>
      <c r="B5" s="102" t="s">
        <v>0</v>
      </c>
      <c r="C5" s="102"/>
      <c r="D5" s="104">
        <v>17563000</v>
      </c>
      <c r="E5" s="112"/>
      <c r="F5" s="103">
        <v>1084</v>
      </c>
    </row>
    <row r="6" spans="1:10" ht="15" thickBot="1" x14ac:dyDescent="0.35">
      <c r="A6" s="278" t="s">
        <v>60</v>
      </c>
      <c r="B6" s="279"/>
      <c r="C6" s="279"/>
      <c r="D6" s="279"/>
      <c r="E6" s="279"/>
      <c r="F6" s="280"/>
      <c r="G6" s="9"/>
      <c r="H6" s="9"/>
      <c r="I6" s="9"/>
      <c r="J6" s="8"/>
    </row>
    <row r="7" spans="1:10" ht="29.4" thickBot="1" x14ac:dyDescent="0.35">
      <c r="A7" s="246" t="s">
        <v>88</v>
      </c>
      <c r="B7" s="247" t="s">
        <v>70</v>
      </c>
      <c r="C7" s="247" t="s">
        <v>53</v>
      </c>
      <c r="D7" s="248"/>
      <c r="E7" s="249"/>
      <c r="F7" s="250" t="s">
        <v>133</v>
      </c>
      <c r="G7" s="8"/>
      <c r="H7" s="8"/>
      <c r="I7" s="8"/>
      <c r="J7" s="8"/>
    </row>
    <row r="8" spans="1:10" x14ac:dyDescent="0.3">
      <c r="A8" s="268" t="s">
        <v>61</v>
      </c>
      <c r="B8" s="269">
        <v>750</v>
      </c>
      <c r="C8" s="269">
        <v>6513.78</v>
      </c>
      <c r="D8" s="270">
        <f>+C8*B8</f>
        <v>4885335</v>
      </c>
      <c r="E8" s="271"/>
      <c r="F8" s="272"/>
      <c r="G8" s="8"/>
      <c r="H8" s="8"/>
      <c r="I8" s="8"/>
      <c r="J8" s="8"/>
    </row>
    <row r="9" spans="1:10" x14ac:dyDescent="0.3">
      <c r="A9" s="251" t="s">
        <v>62</v>
      </c>
      <c r="B9" s="252">
        <v>32945.620000000003</v>
      </c>
      <c r="C9" s="252">
        <v>865.65</v>
      </c>
      <c r="D9" s="253">
        <f t="shared" ref="D9:D15" si="0">+C9*B9</f>
        <v>28519375.953000002</v>
      </c>
      <c r="E9" s="88"/>
      <c r="F9" s="254"/>
      <c r="G9" s="8"/>
      <c r="H9" s="8"/>
      <c r="I9" s="8"/>
      <c r="J9" s="8"/>
    </row>
    <row r="10" spans="1:10" x14ac:dyDescent="0.3">
      <c r="A10" s="251" t="s">
        <v>63</v>
      </c>
      <c r="B10" s="252">
        <v>17000</v>
      </c>
      <c r="C10" s="252">
        <v>583</v>
      </c>
      <c r="D10" s="253">
        <f t="shared" si="0"/>
        <v>9911000</v>
      </c>
      <c r="E10" s="88"/>
      <c r="F10" s="254"/>
      <c r="G10" s="108"/>
      <c r="H10" s="8"/>
      <c r="I10" s="8"/>
      <c r="J10" s="8"/>
    </row>
    <row r="11" spans="1:10" x14ac:dyDescent="0.3">
      <c r="A11" s="251" t="s">
        <v>64</v>
      </c>
      <c r="B11" s="252">
        <v>12500</v>
      </c>
      <c r="C11" s="252">
        <v>614.5</v>
      </c>
      <c r="D11" s="253">
        <f t="shared" si="0"/>
        <v>7681250</v>
      </c>
      <c r="E11" s="88"/>
      <c r="F11" s="254"/>
      <c r="G11" s="8"/>
      <c r="H11" s="8"/>
      <c r="I11" s="8"/>
      <c r="J11" s="8"/>
    </row>
    <row r="12" spans="1:10" x14ac:dyDescent="0.3">
      <c r="A12" s="251" t="s">
        <v>65</v>
      </c>
      <c r="B12" s="252">
        <v>8500</v>
      </c>
      <c r="C12" s="252">
        <v>363.89</v>
      </c>
      <c r="D12" s="253">
        <f t="shared" si="0"/>
        <v>3093065</v>
      </c>
      <c r="E12" s="88"/>
      <c r="F12" s="254"/>
    </row>
    <row r="13" spans="1:10" x14ac:dyDescent="0.3">
      <c r="A13" s="251" t="s">
        <v>66</v>
      </c>
      <c r="B13" s="252">
        <v>19595.099999999999</v>
      </c>
      <c r="C13" s="252">
        <v>636.37</v>
      </c>
      <c r="D13" s="253">
        <f t="shared" si="0"/>
        <v>12469733.786999999</v>
      </c>
      <c r="E13" s="88"/>
      <c r="F13" s="254"/>
    </row>
    <row r="14" spans="1:10" x14ac:dyDescent="0.3">
      <c r="A14" s="251" t="s">
        <v>67</v>
      </c>
      <c r="B14" s="252">
        <v>9100</v>
      </c>
      <c r="C14" s="252">
        <v>880.80499999999995</v>
      </c>
      <c r="D14" s="253">
        <f t="shared" si="0"/>
        <v>8015325.5</v>
      </c>
      <c r="E14" s="88"/>
      <c r="F14" s="254"/>
    </row>
    <row r="15" spans="1:10" x14ac:dyDescent="0.3">
      <c r="A15" s="251" t="s">
        <v>68</v>
      </c>
      <c r="B15" s="252">
        <v>9541.1299999999992</v>
      </c>
      <c r="C15" s="252">
        <v>2200</v>
      </c>
      <c r="D15" s="253">
        <f t="shared" si="0"/>
        <v>20990486</v>
      </c>
      <c r="E15" s="88"/>
      <c r="F15" s="254"/>
    </row>
    <row r="16" spans="1:10" ht="15" thickBot="1" x14ac:dyDescent="0.35">
      <c r="A16" s="273" t="s">
        <v>89</v>
      </c>
      <c r="B16" s="274"/>
      <c r="C16" s="274"/>
      <c r="D16" s="275">
        <f>SUM(D8:D15)</f>
        <v>95565571.24000001</v>
      </c>
      <c r="E16" s="260"/>
      <c r="F16" s="276">
        <f>+D16/C8</f>
        <v>14671.292435421523</v>
      </c>
    </row>
    <row r="17" spans="1:6" x14ac:dyDescent="0.3">
      <c r="A17" s="255" t="s">
        <v>90</v>
      </c>
      <c r="B17" s="252"/>
      <c r="C17" s="252"/>
      <c r="D17" s="253"/>
      <c r="E17" s="88"/>
      <c r="F17" s="254"/>
    </row>
    <row r="18" spans="1:6" x14ac:dyDescent="0.3">
      <c r="A18" s="251" t="s">
        <v>91</v>
      </c>
      <c r="B18" s="252"/>
      <c r="C18" s="252"/>
      <c r="D18" s="252">
        <v>850000</v>
      </c>
      <c r="E18" s="88"/>
      <c r="F18" s="254"/>
    </row>
    <row r="19" spans="1:6" x14ac:dyDescent="0.3">
      <c r="A19" s="251" t="s">
        <v>92</v>
      </c>
      <c r="B19" s="252"/>
      <c r="C19" s="252"/>
      <c r="D19" s="252">
        <v>1940000</v>
      </c>
      <c r="E19" s="88"/>
      <c r="F19" s="254"/>
    </row>
    <row r="20" spans="1:6" x14ac:dyDescent="0.3">
      <c r="A20" s="251" t="s">
        <v>93</v>
      </c>
      <c r="B20" s="252"/>
      <c r="C20" s="252"/>
      <c r="D20" s="252">
        <v>120000</v>
      </c>
      <c r="E20" s="88"/>
      <c r="F20" s="254"/>
    </row>
    <row r="21" spans="1:6" x14ac:dyDescent="0.3">
      <c r="A21" s="251" t="s">
        <v>94</v>
      </c>
      <c r="B21" s="252"/>
      <c r="C21" s="252"/>
      <c r="D21" s="252">
        <v>9290981</v>
      </c>
      <c r="E21" s="88"/>
      <c r="F21" s="254"/>
    </row>
    <row r="22" spans="1:6" x14ac:dyDescent="0.3">
      <c r="A22" s="251" t="s">
        <v>95</v>
      </c>
      <c r="B22" s="252"/>
      <c r="C22" s="252"/>
      <c r="D22" s="252">
        <v>398000</v>
      </c>
      <c r="E22" s="88"/>
      <c r="F22" s="254"/>
    </row>
    <row r="23" spans="1:6" x14ac:dyDescent="0.3">
      <c r="A23" s="255" t="s">
        <v>96</v>
      </c>
      <c r="B23" s="252"/>
      <c r="C23" s="252"/>
      <c r="D23" s="256">
        <f>SUM(D18:D22)</f>
        <v>12598981</v>
      </c>
      <c r="E23" s="88"/>
      <c r="F23" s="254"/>
    </row>
    <row r="24" spans="1:6" ht="15" thickBot="1" x14ac:dyDescent="0.35">
      <c r="A24" s="257"/>
      <c r="B24" s="258"/>
      <c r="C24" s="258"/>
      <c r="D24" s="259"/>
      <c r="E24" s="260"/>
      <c r="F24" s="261"/>
    </row>
    <row r="25" spans="1:6" ht="15" thickBot="1" x14ac:dyDescent="0.35">
      <c r="A25" s="262" t="s">
        <v>69</v>
      </c>
      <c r="B25" s="263"/>
      <c r="C25" s="264"/>
      <c r="D25" s="265">
        <f>+D4+D16+D23</f>
        <v>118897452.24000001</v>
      </c>
      <c r="E25" s="266"/>
      <c r="F25" s="267">
        <f>+D25/C8</f>
        <v>18253.218905151851</v>
      </c>
    </row>
    <row r="26" spans="1:6" s="8" customFormat="1" x14ac:dyDescent="0.3">
      <c r="C26" s="108"/>
      <c r="D26" s="39"/>
    </row>
    <row r="27" spans="1:6" x14ac:dyDescent="0.3">
      <c r="B27" s="21" t="s">
        <v>57</v>
      </c>
      <c r="C27" s="21" t="s">
        <v>56</v>
      </c>
    </row>
    <row r="28" spans="1:6" x14ac:dyDescent="0.3">
      <c r="A28" t="s">
        <v>1</v>
      </c>
      <c r="B28" s="111">
        <v>9900</v>
      </c>
      <c r="C28" s="111">
        <v>16200</v>
      </c>
    </row>
    <row r="29" spans="1:6" x14ac:dyDescent="0.3">
      <c r="A29" t="s">
        <v>2</v>
      </c>
      <c r="B29" s="111">
        <v>1084</v>
      </c>
      <c r="C29" s="111">
        <v>1084</v>
      </c>
    </row>
    <row r="30" spans="1:6" x14ac:dyDescent="0.3">
      <c r="A30" t="s">
        <v>3</v>
      </c>
      <c r="B30" s="111">
        <f>+B29*B28</f>
        <v>10731600</v>
      </c>
      <c r="C30" s="111">
        <f>+C29*C28</f>
        <v>17560800</v>
      </c>
    </row>
    <row r="31" spans="1:6" x14ac:dyDescent="0.3">
      <c r="A31" t="s">
        <v>5</v>
      </c>
      <c r="B31" s="111">
        <f>+B28</f>
        <v>9900</v>
      </c>
      <c r="C31" s="109">
        <f>+C28</f>
        <v>16200</v>
      </c>
    </row>
    <row r="32" spans="1:6" x14ac:dyDescent="0.3">
      <c r="A32" t="s">
        <v>4</v>
      </c>
      <c r="B32" s="111">
        <f>+B31</f>
        <v>9900</v>
      </c>
      <c r="C32" s="109">
        <f>+C28</f>
        <v>16200</v>
      </c>
    </row>
    <row r="33" spans="1:3" x14ac:dyDescent="0.3">
      <c r="A33" t="s">
        <v>6</v>
      </c>
      <c r="B33" s="111">
        <f>+B32</f>
        <v>9900</v>
      </c>
      <c r="C33" s="109">
        <f>+C32</f>
        <v>16200</v>
      </c>
    </row>
    <row r="34" spans="1:3" x14ac:dyDescent="0.3">
      <c r="B34" s="2"/>
    </row>
    <row r="35" spans="1:3" x14ac:dyDescent="0.3">
      <c r="B35" s="2"/>
    </row>
    <row r="36" spans="1:3" x14ac:dyDescent="0.3">
      <c r="B36" s="2"/>
    </row>
  </sheetData>
  <mergeCells count="2">
    <mergeCell ref="A1:E1"/>
    <mergeCell ref="A6:F6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D71"/>
  <sheetViews>
    <sheetView tabSelected="1" topLeftCell="A34" zoomScale="80" zoomScaleNormal="80" workbookViewId="0">
      <selection activeCell="A54" sqref="A54"/>
    </sheetView>
  </sheetViews>
  <sheetFormatPr baseColWidth="10" defaultRowHeight="14.4" x14ac:dyDescent="0.3"/>
  <cols>
    <col min="1" max="1" width="40.109375" customWidth="1"/>
    <col min="2" max="2" width="17.5546875" customWidth="1"/>
    <col min="3" max="3" width="11.33203125" bestFit="1" customWidth="1"/>
    <col min="4" max="4" width="14" bestFit="1" customWidth="1"/>
    <col min="5" max="5" width="12.6640625" customWidth="1"/>
    <col min="6" max="6" width="13.77734375" bestFit="1" customWidth="1"/>
    <col min="7" max="7" width="14.33203125" customWidth="1"/>
    <col min="8" max="8" width="11" bestFit="1" customWidth="1"/>
    <col min="9" max="9" width="8.44140625" bestFit="1" customWidth="1"/>
    <col min="10" max="10" width="13.77734375" bestFit="1" customWidth="1"/>
    <col min="13" max="26" width="14.44140625" bestFit="1" customWidth="1"/>
    <col min="27" max="56" width="14" bestFit="1" customWidth="1"/>
  </cols>
  <sheetData>
    <row r="1" spans="1:11" x14ac:dyDescent="0.3">
      <c r="A1" s="105" t="s">
        <v>23</v>
      </c>
      <c r="B1" s="106">
        <f>+Antecedentes!F4</f>
        <v>1084</v>
      </c>
      <c r="C1" s="105" t="s">
        <v>54</v>
      </c>
      <c r="D1" s="8"/>
      <c r="E1" s="33"/>
    </row>
    <row r="2" spans="1:11" x14ac:dyDescent="0.3">
      <c r="A2" s="119" t="s">
        <v>132</v>
      </c>
      <c r="B2" s="241">
        <v>9900</v>
      </c>
      <c r="E2" s="10"/>
    </row>
    <row r="3" spans="1:11" x14ac:dyDescent="0.3">
      <c r="A3" s="119" t="s">
        <v>27</v>
      </c>
      <c r="B3" s="241">
        <f>+B2*B1</f>
        <v>10731600</v>
      </c>
      <c r="E3" s="10"/>
    </row>
    <row r="4" spans="1:11" x14ac:dyDescent="0.3">
      <c r="A4" s="242" t="s">
        <v>26</v>
      </c>
      <c r="B4" s="243">
        <v>0.13800000000000001</v>
      </c>
      <c r="C4" s="12"/>
      <c r="D4" s="13"/>
      <c r="E4" s="4"/>
    </row>
    <row r="5" spans="1:11" s="8" customFormat="1" x14ac:dyDescent="0.3">
      <c r="A5" s="244" t="s">
        <v>35</v>
      </c>
      <c r="B5" s="245">
        <f>+B3</f>
        <v>10731600</v>
      </c>
      <c r="C5" s="12"/>
      <c r="D5" s="13"/>
      <c r="E5" s="37"/>
    </row>
    <row r="6" spans="1:11" x14ac:dyDescent="0.3">
      <c r="A6" t="s">
        <v>8</v>
      </c>
      <c r="B6" s="17">
        <v>2020</v>
      </c>
      <c r="C6" s="18">
        <v>2021</v>
      </c>
      <c r="D6" s="17">
        <v>2022</v>
      </c>
    </row>
    <row r="7" spans="1:11" x14ac:dyDescent="0.3">
      <c r="B7" s="19">
        <v>0.04</v>
      </c>
      <c r="C7" s="19">
        <v>0.04</v>
      </c>
      <c r="D7" s="19">
        <v>0.04</v>
      </c>
    </row>
    <row r="8" spans="1:11" ht="15" thickBot="1" x14ac:dyDescent="0.35">
      <c r="B8" s="56"/>
      <c r="C8" s="56"/>
      <c r="D8" s="56"/>
    </row>
    <row r="9" spans="1:11" ht="15" thickBot="1" x14ac:dyDescent="0.35">
      <c r="A9" s="288" t="s">
        <v>97</v>
      </c>
      <c r="B9" s="289"/>
      <c r="C9" s="289"/>
      <c r="D9" s="289"/>
      <c r="E9" s="289"/>
      <c r="F9" s="289"/>
      <c r="G9" s="289"/>
      <c r="H9" s="289"/>
      <c r="I9" s="290"/>
    </row>
    <row r="10" spans="1:11" ht="29.4" thickBot="1" x14ac:dyDescent="0.35">
      <c r="A10" s="133" t="s">
        <v>114</v>
      </c>
      <c r="B10" s="141"/>
      <c r="C10" s="142"/>
      <c r="D10" s="142"/>
      <c r="E10" s="143" t="s">
        <v>109</v>
      </c>
      <c r="F10" s="144" t="s">
        <v>102</v>
      </c>
      <c r="G10" s="144" t="s">
        <v>104</v>
      </c>
      <c r="H10" s="145" t="s">
        <v>110</v>
      </c>
      <c r="I10" s="146" t="s">
        <v>103</v>
      </c>
    </row>
    <row r="11" spans="1:11" x14ac:dyDescent="0.3">
      <c r="A11" s="134" t="s">
        <v>100</v>
      </c>
      <c r="B11" s="130" t="s">
        <v>101</v>
      </c>
      <c r="C11" s="136">
        <v>11200</v>
      </c>
      <c r="D11" s="137">
        <v>18</v>
      </c>
      <c r="E11" s="138">
        <v>0.05</v>
      </c>
      <c r="F11" s="136">
        <f>+D11*C11</f>
        <v>201600</v>
      </c>
      <c r="G11" s="138">
        <v>0.4</v>
      </c>
      <c r="H11" s="139">
        <v>4.5499999999999999E-2</v>
      </c>
      <c r="I11" s="140">
        <v>0.9</v>
      </c>
    </row>
    <row r="12" spans="1:11" x14ac:dyDescent="0.3">
      <c r="A12" s="134" t="s">
        <v>105</v>
      </c>
      <c r="B12" s="132"/>
      <c r="C12" s="121"/>
      <c r="D12" s="121"/>
      <c r="E12" s="122">
        <v>0.05</v>
      </c>
      <c r="F12" s="120">
        <v>600000</v>
      </c>
      <c r="G12" s="122">
        <v>0.2</v>
      </c>
      <c r="H12" s="123">
        <v>5.45E-2</v>
      </c>
      <c r="I12" s="124">
        <v>0.8</v>
      </c>
    </row>
    <row r="13" spans="1:11" x14ac:dyDescent="0.3">
      <c r="A13" s="134" t="s">
        <v>106</v>
      </c>
      <c r="B13" s="132"/>
      <c r="C13" s="121"/>
      <c r="D13" s="121"/>
      <c r="E13" s="17"/>
      <c r="F13" s="17"/>
      <c r="G13" s="17"/>
      <c r="H13" s="17"/>
      <c r="I13" s="125"/>
    </row>
    <row r="14" spans="1:11" x14ac:dyDescent="0.3">
      <c r="A14" s="134" t="s">
        <v>107</v>
      </c>
      <c r="B14" s="132"/>
      <c r="C14" s="121"/>
      <c r="D14" s="121"/>
      <c r="E14" s="122">
        <v>0.05</v>
      </c>
      <c r="F14" s="120">
        <v>115830</v>
      </c>
      <c r="G14" s="122">
        <v>0.2</v>
      </c>
      <c r="H14" s="123">
        <v>5.45E-2</v>
      </c>
      <c r="I14" s="124">
        <v>0.8</v>
      </c>
    </row>
    <row r="15" spans="1:11" ht="15.6" x14ac:dyDescent="0.3">
      <c r="A15" s="134" t="s">
        <v>98</v>
      </c>
      <c r="B15" s="131" t="s">
        <v>111</v>
      </c>
      <c r="C15" s="121"/>
      <c r="D15" s="121"/>
      <c r="E15" s="122">
        <v>0.05</v>
      </c>
      <c r="F15" s="120">
        <v>1022924</v>
      </c>
      <c r="G15" s="122">
        <v>1</v>
      </c>
      <c r="H15" s="122">
        <v>0.02</v>
      </c>
      <c r="I15" s="124">
        <v>1</v>
      </c>
      <c r="J15" s="232">
        <f>+I15*F15</f>
        <v>1022924</v>
      </c>
      <c r="K15" s="155"/>
    </row>
    <row r="16" spans="1:11" ht="15.6" x14ac:dyDescent="0.3">
      <c r="A16" s="134" t="s">
        <v>99</v>
      </c>
      <c r="B16" s="131" t="s">
        <v>112</v>
      </c>
      <c r="C16" s="121"/>
      <c r="D16" s="121"/>
      <c r="E16" s="122">
        <v>0.05</v>
      </c>
      <c r="F16" s="120">
        <v>215075</v>
      </c>
      <c r="G16" s="122">
        <v>0.5</v>
      </c>
      <c r="H16" s="122">
        <v>0.1</v>
      </c>
      <c r="I16" s="124">
        <v>0.9</v>
      </c>
      <c r="J16" s="232">
        <f>+I16*F16</f>
        <v>193567.5</v>
      </c>
      <c r="K16" s="155"/>
    </row>
    <row r="17" spans="1:56" ht="15" thickBot="1" x14ac:dyDescent="0.35">
      <c r="A17" s="135" t="s">
        <v>108</v>
      </c>
      <c r="B17" s="30" t="s">
        <v>113</v>
      </c>
      <c r="C17" s="126"/>
      <c r="D17" s="126"/>
      <c r="E17" s="127">
        <v>0.05</v>
      </c>
      <c r="F17" s="128">
        <v>161000</v>
      </c>
      <c r="G17" s="127">
        <v>0.5</v>
      </c>
      <c r="H17" s="127">
        <v>0.1</v>
      </c>
      <c r="I17" s="129">
        <v>0.9</v>
      </c>
      <c r="J17" s="232">
        <f>+I17*F17</f>
        <v>144900</v>
      </c>
    </row>
    <row r="18" spans="1:56" x14ac:dyDescent="0.3">
      <c r="B18" s="56"/>
      <c r="C18" s="56"/>
      <c r="D18" s="56"/>
      <c r="E18" s="231">
        <f>+F18*12</f>
        <v>16787988</v>
      </c>
      <c r="F18" s="232">
        <f>SUM(F15:F17)</f>
        <v>1398999</v>
      </c>
      <c r="G18" s="231"/>
      <c r="H18" s="231"/>
      <c r="I18" s="231"/>
      <c r="J18" s="232">
        <f>SUM(J15:J17)</f>
        <v>1361391.5</v>
      </c>
      <c r="K18" s="233">
        <f>+J18/F18</f>
        <v>0.9731182795698925</v>
      </c>
    </row>
    <row r="19" spans="1:56" x14ac:dyDescent="0.3">
      <c r="B19" s="56"/>
      <c r="C19" s="56"/>
      <c r="D19" s="56"/>
      <c r="E19" s="231"/>
      <c r="F19" s="234">
        <f>+F15/F18</f>
        <v>0.73118279569892475</v>
      </c>
      <c r="G19" s="235">
        <f>+G15*F15</f>
        <v>1022924</v>
      </c>
      <c r="H19" s="231"/>
      <c r="I19" s="231"/>
      <c r="J19" s="232">
        <f>+J18-G22</f>
        <v>150430</v>
      </c>
      <c r="K19" s="231"/>
    </row>
    <row r="20" spans="1:56" x14ac:dyDescent="0.3">
      <c r="C20" s="3"/>
      <c r="D20" s="3"/>
      <c r="E20" s="231"/>
      <c r="F20" s="234">
        <f>+F16/F18</f>
        <v>0.15373492046813472</v>
      </c>
      <c r="G20" s="235">
        <f>+F16*G16</f>
        <v>107537.5</v>
      </c>
      <c r="H20" s="231"/>
      <c r="I20" s="231"/>
      <c r="J20" s="235">
        <f>+J19/12</f>
        <v>12535.833333333334</v>
      </c>
      <c r="K20" s="231"/>
    </row>
    <row r="21" spans="1:56" x14ac:dyDescent="0.3">
      <c r="A21" s="22" t="s">
        <v>9</v>
      </c>
      <c r="B21" s="23">
        <v>1000000</v>
      </c>
      <c r="C21" s="3"/>
      <c r="D21" s="3"/>
      <c r="E21" s="231"/>
      <c r="F21" s="236">
        <f>+F17/F18</f>
        <v>0.11508228383294056</v>
      </c>
      <c r="G21" s="237">
        <f>+G17*F17</f>
        <v>80500</v>
      </c>
      <c r="H21" s="238"/>
      <c r="I21" s="238"/>
      <c r="J21" s="233">
        <f>+(K18-H22)/11</f>
        <v>9.7751710654936479E-3</v>
      </c>
      <c r="K21" s="231"/>
    </row>
    <row r="22" spans="1:56" ht="15" thickBot="1" x14ac:dyDescent="0.35">
      <c r="B22" s="3"/>
      <c r="C22" s="3"/>
      <c r="D22" s="3"/>
      <c r="E22" s="231"/>
      <c r="F22" s="238"/>
      <c r="G22" s="239">
        <f>SUM(G19:G21)</f>
        <v>1210961.5</v>
      </c>
      <c r="H22" s="240">
        <f>+G22/F18</f>
        <v>0.86559139784946237</v>
      </c>
      <c r="I22" s="238"/>
      <c r="J22" s="231"/>
      <c r="K22" s="231"/>
      <c r="Z22" t="s">
        <v>128</v>
      </c>
    </row>
    <row r="23" spans="1:56" ht="15" thickBot="1" x14ac:dyDescent="0.35">
      <c r="A23" s="176"/>
      <c r="B23" s="281">
        <v>2021</v>
      </c>
      <c r="C23" s="282"/>
      <c r="D23" s="282"/>
      <c r="E23" s="282"/>
      <c r="F23" s="282"/>
      <c r="G23" s="283"/>
      <c r="H23" s="281">
        <v>2022</v>
      </c>
      <c r="I23" s="282"/>
      <c r="J23" s="282"/>
      <c r="K23" s="282"/>
      <c r="L23" s="282"/>
      <c r="M23" s="282"/>
      <c r="N23" s="282"/>
      <c r="O23" s="282"/>
      <c r="P23" s="282"/>
      <c r="Q23" s="282"/>
      <c r="R23" s="282"/>
      <c r="S23" s="283"/>
      <c r="T23" s="281">
        <v>2023</v>
      </c>
      <c r="U23" s="282"/>
      <c r="V23" s="282"/>
      <c r="W23" s="282"/>
      <c r="X23" s="282"/>
      <c r="Y23" s="282"/>
      <c r="Z23" s="282"/>
      <c r="AA23" s="282"/>
      <c r="AB23" s="282"/>
      <c r="AC23" s="282"/>
      <c r="AD23" s="282"/>
      <c r="AE23" s="283"/>
      <c r="AF23" s="281">
        <v>2024</v>
      </c>
      <c r="AG23" s="282"/>
      <c r="AH23" s="282"/>
      <c r="AI23" s="282"/>
      <c r="AJ23" s="282"/>
      <c r="AK23" s="282"/>
      <c r="AL23" s="282"/>
      <c r="AM23" s="282"/>
      <c r="AN23" s="282"/>
      <c r="AO23" s="282"/>
      <c r="AP23" s="282"/>
      <c r="AQ23" s="283"/>
      <c r="AR23" s="284">
        <v>2025</v>
      </c>
      <c r="AS23" s="285"/>
      <c r="AT23" s="285"/>
      <c r="AU23" s="285"/>
      <c r="AV23" s="285"/>
      <c r="AW23" s="285"/>
      <c r="AX23" s="285"/>
      <c r="AY23" s="285"/>
      <c r="AZ23" s="285"/>
      <c r="BA23" s="285"/>
      <c r="BB23" s="285"/>
      <c r="BC23" s="286"/>
      <c r="BD23" s="162"/>
    </row>
    <row r="24" spans="1:56" x14ac:dyDescent="0.3">
      <c r="A24" s="177" t="s">
        <v>10</v>
      </c>
      <c r="B24" s="163">
        <v>1</v>
      </c>
      <c r="C24" s="27"/>
      <c r="D24" s="27"/>
      <c r="E24" s="27"/>
      <c r="F24" s="27"/>
      <c r="G24" s="27"/>
      <c r="H24" s="174">
        <v>2</v>
      </c>
      <c r="I24" s="161"/>
      <c r="J24" s="161"/>
      <c r="K24" s="161"/>
      <c r="L24" s="161"/>
      <c r="M24" s="161"/>
      <c r="N24" s="161"/>
      <c r="O24" s="161"/>
      <c r="P24" s="161"/>
      <c r="Q24" s="161"/>
      <c r="R24" s="161"/>
      <c r="S24" s="161"/>
      <c r="T24" s="174">
        <v>3</v>
      </c>
      <c r="U24" s="161"/>
      <c r="V24" s="161"/>
      <c r="W24" s="175"/>
      <c r="X24" s="175"/>
      <c r="Y24" s="175"/>
      <c r="Z24" s="175"/>
      <c r="AA24" s="175"/>
      <c r="AB24" s="175"/>
      <c r="AC24" s="175"/>
      <c r="AD24" s="175"/>
      <c r="AE24" s="161"/>
      <c r="AF24" s="174">
        <v>4</v>
      </c>
      <c r="AG24" s="161"/>
      <c r="AH24" s="161"/>
      <c r="AI24" s="161"/>
      <c r="AJ24" s="161"/>
      <c r="AK24" s="161"/>
      <c r="AL24" s="161"/>
      <c r="AM24" s="161"/>
      <c r="AN24" s="161"/>
      <c r="AO24" s="161"/>
      <c r="AP24" s="161"/>
      <c r="AQ24" s="162"/>
      <c r="AR24" s="171">
        <v>5</v>
      </c>
      <c r="AS24" s="161"/>
      <c r="AT24" s="161"/>
      <c r="AU24" s="161"/>
      <c r="AV24" s="161"/>
      <c r="AW24" s="161"/>
      <c r="AX24" s="161"/>
      <c r="AY24" s="161"/>
      <c r="AZ24" s="161"/>
      <c r="BA24" s="161"/>
      <c r="BB24" s="161"/>
      <c r="BC24" s="162"/>
      <c r="BD24" s="48"/>
    </row>
    <row r="25" spans="1:56" s="110" customFormat="1" x14ac:dyDescent="0.3">
      <c r="A25" s="178"/>
      <c r="B25" s="164" t="s">
        <v>115</v>
      </c>
      <c r="C25" s="165" t="s">
        <v>116</v>
      </c>
      <c r="D25" s="165" t="s">
        <v>117</v>
      </c>
      <c r="E25" s="165" t="s">
        <v>118</v>
      </c>
      <c r="F25" s="165" t="s">
        <v>119</v>
      </c>
      <c r="G25" s="165" t="s">
        <v>120</v>
      </c>
      <c r="H25" s="164" t="s">
        <v>121</v>
      </c>
      <c r="I25" s="165" t="s">
        <v>122</v>
      </c>
      <c r="J25" s="147" t="s">
        <v>123</v>
      </c>
      <c r="K25" s="165" t="s">
        <v>124</v>
      </c>
      <c r="L25" s="147" t="s">
        <v>125</v>
      </c>
      <c r="M25" s="165" t="s">
        <v>126</v>
      </c>
      <c r="N25" s="147" t="s">
        <v>127</v>
      </c>
      <c r="O25" s="165" t="s">
        <v>116</v>
      </c>
      <c r="P25" s="147" t="s">
        <v>117</v>
      </c>
      <c r="Q25" s="165" t="s">
        <v>118</v>
      </c>
      <c r="R25" s="147" t="s">
        <v>119</v>
      </c>
      <c r="S25" s="165" t="s">
        <v>120</v>
      </c>
      <c r="T25" s="164" t="s">
        <v>121</v>
      </c>
      <c r="U25" s="165" t="s">
        <v>122</v>
      </c>
      <c r="V25" s="147" t="s">
        <v>123</v>
      </c>
      <c r="W25" s="165" t="s">
        <v>124</v>
      </c>
      <c r="X25" s="147" t="s">
        <v>125</v>
      </c>
      <c r="Y25" s="165" t="s">
        <v>126</v>
      </c>
      <c r="Z25" s="147" t="s">
        <v>127</v>
      </c>
      <c r="AA25" s="165" t="s">
        <v>116</v>
      </c>
      <c r="AB25" s="147" t="s">
        <v>117</v>
      </c>
      <c r="AC25" s="165" t="s">
        <v>118</v>
      </c>
      <c r="AD25" s="147" t="s">
        <v>119</v>
      </c>
      <c r="AE25" s="165" t="s">
        <v>120</v>
      </c>
      <c r="AF25" s="164" t="s">
        <v>121</v>
      </c>
      <c r="AG25" s="165" t="s">
        <v>122</v>
      </c>
      <c r="AH25" s="147" t="s">
        <v>123</v>
      </c>
      <c r="AI25" s="165" t="s">
        <v>124</v>
      </c>
      <c r="AJ25" s="147" t="s">
        <v>125</v>
      </c>
      <c r="AK25" s="165" t="s">
        <v>126</v>
      </c>
      <c r="AL25" s="147" t="s">
        <v>127</v>
      </c>
      <c r="AM25" s="165" t="s">
        <v>116</v>
      </c>
      <c r="AN25" s="147" t="s">
        <v>117</v>
      </c>
      <c r="AO25" s="165" t="s">
        <v>118</v>
      </c>
      <c r="AP25" s="147" t="s">
        <v>119</v>
      </c>
      <c r="AQ25" s="172" t="s">
        <v>120</v>
      </c>
      <c r="AR25" s="164" t="s">
        <v>121</v>
      </c>
      <c r="AS25" s="165" t="s">
        <v>122</v>
      </c>
      <c r="AT25" s="147" t="s">
        <v>123</v>
      </c>
      <c r="AU25" s="165" t="s">
        <v>124</v>
      </c>
      <c r="AV25" s="147" t="s">
        <v>125</v>
      </c>
      <c r="AW25" s="165" t="s">
        <v>126</v>
      </c>
      <c r="AX25" s="147" t="s">
        <v>127</v>
      </c>
      <c r="AY25" s="165" t="s">
        <v>116</v>
      </c>
      <c r="AZ25" s="147" t="s">
        <v>117</v>
      </c>
      <c r="BA25" s="165" t="s">
        <v>118</v>
      </c>
      <c r="BB25" s="147" t="s">
        <v>119</v>
      </c>
      <c r="BC25" s="172" t="s">
        <v>120</v>
      </c>
      <c r="BD25" s="166" t="s">
        <v>129</v>
      </c>
    </row>
    <row r="26" spans="1:56" ht="15" thickBot="1" x14ac:dyDescent="0.35">
      <c r="A26" s="178"/>
      <c r="B26" s="167">
        <v>1</v>
      </c>
      <c r="C26" s="168">
        <v>2</v>
      </c>
      <c r="D26" s="168">
        <v>3</v>
      </c>
      <c r="E26" s="169">
        <v>4</v>
      </c>
      <c r="F26" s="168">
        <v>5</v>
      </c>
      <c r="G26" s="168">
        <v>6</v>
      </c>
      <c r="H26" s="167">
        <v>7</v>
      </c>
      <c r="I26" s="168">
        <v>8</v>
      </c>
      <c r="J26" s="168">
        <v>9</v>
      </c>
      <c r="K26" s="169">
        <v>10</v>
      </c>
      <c r="L26" s="168">
        <v>11</v>
      </c>
      <c r="M26" s="168">
        <v>12</v>
      </c>
      <c r="N26" s="169">
        <v>13</v>
      </c>
      <c r="O26" s="168">
        <v>14</v>
      </c>
      <c r="P26" s="168">
        <v>15</v>
      </c>
      <c r="Q26" s="169">
        <v>16</v>
      </c>
      <c r="R26" s="168">
        <v>17</v>
      </c>
      <c r="S26" s="168">
        <v>18</v>
      </c>
      <c r="T26" s="167">
        <v>19</v>
      </c>
      <c r="U26" s="168">
        <v>20</v>
      </c>
      <c r="V26" s="168">
        <v>21</v>
      </c>
      <c r="W26" s="169">
        <v>22</v>
      </c>
      <c r="X26" s="168">
        <v>23</v>
      </c>
      <c r="Y26" s="168">
        <v>24</v>
      </c>
      <c r="Z26" s="169">
        <v>25</v>
      </c>
      <c r="AA26" s="168">
        <v>26</v>
      </c>
      <c r="AB26" s="168">
        <v>27</v>
      </c>
      <c r="AC26" s="169">
        <v>28</v>
      </c>
      <c r="AD26" s="168">
        <v>29</v>
      </c>
      <c r="AE26" s="168">
        <v>30</v>
      </c>
      <c r="AF26" s="167">
        <v>31</v>
      </c>
      <c r="AG26" s="168">
        <v>32</v>
      </c>
      <c r="AH26" s="168">
        <v>33</v>
      </c>
      <c r="AI26" s="169">
        <v>34</v>
      </c>
      <c r="AJ26" s="168">
        <v>35</v>
      </c>
      <c r="AK26" s="168">
        <v>36</v>
      </c>
      <c r="AL26" s="169">
        <v>37</v>
      </c>
      <c r="AM26" s="168">
        <v>38</v>
      </c>
      <c r="AN26" s="168">
        <v>39</v>
      </c>
      <c r="AO26" s="169">
        <v>40</v>
      </c>
      <c r="AP26" s="168">
        <v>41</v>
      </c>
      <c r="AQ26" s="173">
        <v>42</v>
      </c>
      <c r="AR26" s="167">
        <v>43</v>
      </c>
      <c r="AS26" s="168">
        <v>44</v>
      </c>
      <c r="AT26" s="168">
        <v>45</v>
      </c>
      <c r="AU26" s="169">
        <v>46</v>
      </c>
      <c r="AV26" s="168">
        <v>47</v>
      </c>
      <c r="AW26" s="168">
        <v>48</v>
      </c>
      <c r="AX26" s="169">
        <v>49</v>
      </c>
      <c r="AY26" s="168">
        <v>50</v>
      </c>
      <c r="AZ26" s="168">
        <v>51</v>
      </c>
      <c r="BA26" s="169">
        <v>52</v>
      </c>
      <c r="BB26" s="168">
        <v>53</v>
      </c>
      <c r="BC26" s="173">
        <v>54</v>
      </c>
      <c r="BD26" s="170"/>
    </row>
    <row r="27" spans="1:56" x14ac:dyDescent="0.3">
      <c r="A27" s="179" t="s">
        <v>11</v>
      </c>
      <c r="B27" s="211">
        <f>+Antecedentes!D4</f>
        <v>10732900</v>
      </c>
      <c r="C27" s="161"/>
      <c r="D27" s="212"/>
      <c r="E27" s="212"/>
      <c r="F27" s="212"/>
      <c r="G27" s="213"/>
      <c r="H27" s="24"/>
      <c r="I27" s="24"/>
      <c r="J27" s="24"/>
      <c r="K27" s="24"/>
      <c r="L27" s="24"/>
      <c r="M27" s="114">
        <f>+B30</f>
        <v>10732900</v>
      </c>
      <c r="N27" s="24"/>
      <c r="O27" s="27"/>
      <c r="P27" s="27"/>
      <c r="Q27" s="27"/>
      <c r="R27" s="27"/>
      <c r="S27" s="27"/>
      <c r="T27" s="176"/>
      <c r="U27" s="161"/>
      <c r="V27" s="161"/>
      <c r="W27" s="161"/>
      <c r="X27" s="161"/>
      <c r="Y27" s="161"/>
      <c r="Z27" s="161"/>
      <c r="AA27" s="161"/>
      <c r="AB27" s="161"/>
      <c r="AC27" s="161"/>
      <c r="AD27" s="161"/>
      <c r="AE27" s="162"/>
      <c r="AF27" s="27"/>
      <c r="AG27" s="27"/>
      <c r="AH27" s="27"/>
      <c r="AI27" s="27"/>
      <c r="AJ27" s="27"/>
      <c r="AK27" s="27"/>
      <c r="AL27" s="27"/>
      <c r="AM27" s="27"/>
      <c r="AN27" s="27"/>
      <c r="AO27" s="27"/>
      <c r="AP27" s="27"/>
      <c r="AQ27" s="27"/>
      <c r="AR27" s="176"/>
      <c r="AS27" s="161"/>
      <c r="AT27" s="161"/>
      <c r="AU27" s="161"/>
      <c r="AV27" s="161"/>
      <c r="AW27" s="161"/>
      <c r="AX27" s="161"/>
      <c r="AY27" s="161"/>
      <c r="AZ27" s="161"/>
      <c r="BA27" s="161"/>
      <c r="BB27" s="161"/>
      <c r="BC27" s="162"/>
      <c r="BD27" s="180"/>
    </row>
    <row r="28" spans="1:56" x14ac:dyDescent="0.3">
      <c r="A28" s="181" t="s">
        <v>71</v>
      </c>
      <c r="B28" s="214">
        <v>0.04</v>
      </c>
      <c r="C28" s="27"/>
      <c r="D28" s="115"/>
      <c r="E28" s="115"/>
      <c r="F28" s="113"/>
      <c r="G28" s="215"/>
      <c r="H28" s="24"/>
      <c r="I28" s="24"/>
      <c r="J28" s="24"/>
      <c r="K28" s="24"/>
      <c r="L28" s="24"/>
      <c r="M28" s="115">
        <v>0.04</v>
      </c>
      <c r="N28" s="24"/>
      <c r="O28" s="27"/>
      <c r="P28" s="27"/>
      <c r="Q28" s="27"/>
      <c r="R28" s="27"/>
      <c r="S28" s="27"/>
      <c r="T28" s="47"/>
      <c r="U28" s="27"/>
      <c r="V28" s="27"/>
      <c r="W28" s="27"/>
      <c r="X28" s="27"/>
      <c r="Y28" s="27"/>
      <c r="Z28" s="27"/>
      <c r="AA28" s="27"/>
      <c r="AB28" s="27"/>
      <c r="AC28" s="27"/>
      <c r="AD28" s="27"/>
      <c r="AE28" s="48"/>
      <c r="AF28" s="27"/>
      <c r="AG28" s="27"/>
      <c r="AH28" s="27"/>
      <c r="AI28" s="27"/>
      <c r="AJ28" s="27"/>
      <c r="AK28" s="27"/>
      <c r="AL28" s="27"/>
      <c r="AM28" s="27"/>
      <c r="AN28" s="27"/>
      <c r="AO28" s="27"/>
      <c r="AP28" s="27"/>
      <c r="AQ28" s="27"/>
      <c r="AR28" s="47"/>
      <c r="AS28" s="27"/>
      <c r="AT28" s="27"/>
      <c r="AU28" s="27"/>
      <c r="AV28" s="27"/>
      <c r="AW28" s="27"/>
      <c r="AX28" s="27"/>
      <c r="AY28" s="27"/>
      <c r="AZ28" s="27"/>
      <c r="BA28" s="27"/>
      <c r="BB28" s="27"/>
      <c r="BC28" s="48"/>
      <c r="BD28" s="180"/>
    </row>
    <row r="29" spans="1:56" x14ac:dyDescent="0.3">
      <c r="A29" s="181"/>
      <c r="B29" s="216"/>
      <c r="C29" s="27"/>
      <c r="D29" s="114"/>
      <c r="E29" s="114"/>
      <c r="F29" s="114"/>
      <c r="G29" s="215"/>
      <c r="H29" s="24"/>
      <c r="I29" s="24"/>
      <c r="J29" s="24"/>
      <c r="K29" s="24"/>
      <c r="L29" s="24"/>
      <c r="M29" s="114">
        <f>+M27*M28</f>
        <v>429316</v>
      </c>
      <c r="N29" s="24"/>
      <c r="O29" s="27"/>
      <c r="P29" s="27"/>
      <c r="Q29" s="27"/>
      <c r="R29" s="27"/>
      <c r="S29" s="27"/>
      <c r="T29" s="47"/>
      <c r="U29" s="27"/>
      <c r="V29" s="27"/>
      <c r="W29" s="27"/>
      <c r="X29" s="27"/>
      <c r="Y29" s="27"/>
      <c r="Z29" s="27"/>
      <c r="AA29" s="27"/>
      <c r="AB29" s="27"/>
      <c r="AC29" s="27"/>
      <c r="AD29" s="27"/>
      <c r="AE29" s="48"/>
      <c r="AF29" s="27"/>
      <c r="AG29" s="27"/>
      <c r="AH29" s="27"/>
      <c r="AI29" s="27"/>
      <c r="AJ29" s="27"/>
      <c r="AK29" s="27"/>
      <c r="AL29" s="27"/>
      <c r="AM29" s="27"/>
      <c r="AN29" s="27"/>
      <c r="AO29" s="27"/>
      <c r="AP29" s="27"/>
      <c r="AQ29" s="27"/>
      <c r="AR29" s="47"/>
      <c r="AS29" s="27"/>
      <c r="AT29" s="27"/>
      <c r="AU29" s="27"/>
      <c r="AV29" s="27"/>
      <c r="AW29" s="27"/>
      <c r="AX29" s="27"/>
      <c r="AY29" s="27"/>
      <c r="AZ29" s="27"/>
      <c r="BA29" s="27"/>
      <c r="BB29" s="27"/>
      <c r="BC29" s="48"/>
      <c r="BD29" s="180"/>
    </row>
    <row r="30" spans="1:56" x14ac:dyDescent="0.3">
      <c r="A30" s="181" t="s">
        <v>12</v>
      </c>
      <c r="B30" s="216">
        <f>+B29+B27</f>
        <v>10732900</v>
      </c>
      <c r="C30" s="27"/>
      <c r="D30" s="114"/>
      <c r="E30" s="114"/>
      <c r="F30" s="114"/>
      <c r="G30" s="215"/>
      <c r="H30" s="24"/>
      <c r="I30" s="24"/>
      <c r="J30" s="24"/>
      <c r="K30" s="24"/>
      <c r="L30" s="24"/>
      <c r="M30" s="114">
        <f>+M29+M27</f>
        <v>11162216</v>
      </c>
      <c r="N30" s="24"/>
      <c r="O30" s="27"/>
      <c r="P30" s="27"/>
      <c r="Q30" s="27"/>
      <c r="R30" s="27"/>
      <c r="S30" s="27"/>
      <c r="T30" s="47"/>
      <c r="U30" s="27"/>
      <c r="V30" s="27"/>
      <c r="W30" s="27"/>
      <c r="X30" s="27"/>
      <c r="Y30" s="27"/>
      <c r="Z30" s="27"/>
      <c r="AA30" s="27"/>
      <c r="AB30" s="27"/>
      <c r="AC30" s="27"/>
      <c r="AD30" s="27"/>
      <c r="AE30" s="48"/>
      <c r="AF30" s="27"/>
      <c r="AG30" s="27"/>
      <c r="AH30" s="27"/>
      <c r="AI30" s="27"/>
      <c r="AJ30" s="27"/>
      <c r="AK30" s="27"/>
      <c r="AL30" s="56">
        <v>0.04</v>
      </c>
      <c r="AM30" s="27"/>
      <c r="AN30" s="27"/>
      <c r="AO30" s="27"/>
      <c r="AP30" s="27"/>
      <c r="AQ30" s="27"/>
      <c r="AR30" s="47"/>
      <c r="AS30" s="27"/>
      <c r="AT30" s="27"/>
      <c r="AU30" s="27"/>
      <c r="AV30" s="27"/>
      <c r="AW30" s="27"/>
      <c r="AX30" s="56">
        <v>0.04</v>
      </c>
      <c r="AY30" s="27"/>
      <c r="AZ30" s="27"/>
      <c r="BA30" s="27"/>
      <c r="BB30" s="27"/>
      <c r="BC30" s="48"/>
      <c r="BD30" s="180"/>
    </row>
    <row r="31" spans="1:56" x14ac:dyDescent="0.3">
      <c r="A31" s="181"/>
      <c r="B31" s="216"/>
      <c r="C31" s="114"/>
      <c r="D31" s="114"/>
      <c r="E31" s="114"/>
      <c r="F31" s="24"/>
      <c r="G31" s="215"/>
      <c r="H31" s="24"/>
      <c r="I31" s="24"/>
      <c r="J31" s="24"/>
      <c r="K31" s="24"/>
      <c r="L31" s="24"/>
      <c r="M31" s="24"/>
      <c r="N31" s="24"/>
      <c r="O31" s="27"/>
      <c r="P31" s="27"/>
      <c r="Q31" s="27"/>
      <c r="R31" s="27"/>
      <c r="S31" s="27"/>
      <c r="T31" s="47"/>
      <c r="U31" s="27"/>
      <c r="V31" s="27"/>
      <c r="W31" s="27"/>
      <c r="X31" s="27"/>
      <c r="Y31" s="27"/>
      <c r="Z31" s="56">
        <v>0.04</v>
      </c>
      <c r="AA31" s="27"/>
      <c r="AB31" s="27"/>
      <c r="AC31" s="27"/>
      <c r="AD31" s="27"/>
      <c r="AE31" s="48"/>
      <c r="AF31" s="27"/>
      <c r="AG31" s="27"/>
      <c r="AH31" s="27"/>
      <c r="AI31" s="27"/>
      <c r="AJ31" s="27"/>
      <c r="AK31" s="27"/>
      <c r="AL31" s="27"/>
      <c r="AM31" s="27"/>
      <c r="AN31" s="27"/>
      <c r="AO31" s="27"/>
      <c r="AP31" s="27"/>
      <c r="AQ31" s="27"/>
      <c r="AR31" s="47"/>
      <c r="AS31" s="27"/>
      <c r="AT31" s="27"/>
      <c r="AU31" s="27"/>
      <c r="AV31" s="27"/>
      <c r="AW31" s="27"/>
      <c r="AX31" s="27"/>
      <c r="AY31" s="27"/>
      <c r="AZ31" s="27"/>
      <c r="BA31" s="27"/>
      <c r="BB31" s="27"/>
      <c r="BC31" s="48"/>
      <c r="BD31" s="180"/>
    </row>
    <row r="32" spans="1:56" x14ac:dyDescent="0.3">
      <c r="A32" s="181" t="s">
        <v>76</v>
      </c>
      <c r="B32" s="217"/>
      <c r="C32" s="114"/>
      <c r="D32" s="114"/>
      <c r="E32" s="114"/>
      <c r="F32" s="28"/>
      <c r="G32" s="218"/>
      <c r="H32" s="28"/>
      <c r="I32" s="28"/>
      <c r="J32" s="28"/>
      <c r="K32" s="28"/>
      <c r="L32" s="28"/>
      <c r="M32" s="28"/>
      <c r="N32" s="28"/>
      <c r="O32" s="27"/>
      <c r="P32" s="27"/>
      <c r="Q32" s="27"/>
      <c r="R32" s="27"/>
      <c r="S32" s="27"/>
      <c r="T32" s="47"/>
      <c r="U32" s="27"/>
      <c r="V32" s="27"/>
      <c r="W32" s="27"/>
      <c r="X32" s="27"/>
      <c r="Y32" s="27"/>
      <c r="Z32" s="27"/>
      <c r="AA32" s="27"/>
      <c r="AB32" s="27"/>
      <c r="AC32" s="27"/>
      <c r="AD32" s="27"/>
      <c r="AE32" s="48"/>
      <c r="AF32" s="27"/>
      <c r="AG32" s="27"/>
      <c r="AH32" s="27"/>
      <c r="AI32" s="27"/>
      <c r="AJ32" s="27"/>
      <c r="AK32" s="27"/>
      <c r="AL32" s="27"/>
      <c r="AM32" s="27"/>
      <c r="AN32" s="27"/>
      <c r="AO32" s="27"/>
      <c r="AP32" s="27"/>
      <c r="AQ32" s="27"/>
      <c r="AR32" s="47"/>
      <c r="AS32" s="27"/>
      <c r="AT32" s="27"/>
      <c r="AU32" s="27"/>
      <c r="AV32" s="27"/>
      <c r="AW32" s="27"/>
      <c r="AX32" s="27"/>
      <c r="AY32" s="27"/>
      <c r="AZ32" s="27"/>
      <c r="BA32" s="27"/>
      <c r="BB32" s="27"/>
      <c r="BC32" s="48"/>
      <c r="BD32" s="180"/>
    </row>
    <row r="33" spans="1:56" x14ac:dyDescent="0.3">
      <c r="A33" s="181"/>
      <c r="B33" s="217"/>
      <c r="C33" s="114"/>
      <c r="D33" s="114"/>
      <c r="E33" s="114"/>
      <c r="F33" s="28"/>
      <c r="G33" s="218"/>
      <c r="H33" s="28"/>
      <c r="I33" s="28"/>
      <c r="J33" s="28"/>
      <c r="K33" s="28"/>
      <c r="L33" s="28"/>
      <c r="M33" s="28"/>
      <c r="N33" s="156">
        <f>+G11</f>
        <v>0.4</v>
      </c>
      <c r="O33" s="182">
        <f>H11+G11</f>
        <v>0.44550000000000001</v>
      </c>
      <c r="P33" s="182">
        <f>+O33+$H$11</f>
        <v>0.49099999999999999</v>
      </c>
      <c r="Q33" s="182">
        <f>+P33+$H$11</f>
        <v>0.53649999999999998</v>
      </c>
      <c r="R33" s="182">
        <f t="shared" ref="R33:T33" si="0">+Q33+$H$11</f>
        <v>0.58199999999999996</v>
      </c>
      <c r="S33" s="182">
        <f t="shared" si="0"/>
        <v>0.62749999999999995</v>
      </c>
      <c r="T33" s="208">
        <f t="shared" si="0"/>
        <v>0.67299999999999993</v>
      </c>
      <c r="U33" s="182">
        <f>+T33+$H$11</f>
        <v>0.71849999999999992</v>
      </c>
      <c r="V33" s="182">
        <f>+U33+$H$11</f>
        <v>0.7639999999999999</v>
      </c>
      <c r="W33" s="182">
        <f t="shared" ref="W33:X33" si="1">+V33+$H$11</f>
        <v>0.80949999999999989</v>
      </c>
      <c r="X33" s="182">
        <f t="shared" si="1"/>
        <v>0.85499999999999987</v>
      </c>
      <c r="Y33" s="182">
        <f>+X33+$H$11</f>
        <v>0.90049999999999986</v>
      </c>
      <c r="Z33" s="27"/>
      <c r="AA33" s="27"/>
      <c r="AB33" s="27"/>
      <c r="AC33" s="27"/>
      <c r="AD33" s="27"/>
      <c r="AE33" s="48"/>
      <c r="AF33" s="27"/>
      <c r="AG33" s="27"/>
      <c r="AH33" s="27"/>
      <c r="AI33" s="27"/>
      <c r="AJ33" s="27"/>
      <c r="AK33" s="27"/>
      <c r="AL33" s="27"/>
      <c r="AM33" s="27"/>
      <c r="AN33" s="27"/>
      <c r="AO33" s="27"/>
      <c r="AP33" s="27"/>
      <c r="AQ33" s="27"/>
      <c r="AR33" s="47"/>
      <c r="AS33" s="27"/>
      <c r="AT33" s="27"/>
      <c r="AU33" s="27"/>
      <c r="AV33" s="27"/>
      <c r="AW33" s="27"/>
      <c r="AX33" s="27"/>
      <c r="AY33" s="27"/>
      <c r="AZ33" s="27"/>
      <c r="BA33" s="27"/>
      <c r="BB33" s="27"/>
      <c r="BC33" s="48"/>
      <c r="BD33" s="180"/>
    </row>
    <row r="34" spans="1:56" x14ac:dyDescent="0.3">
      <c r="A34" s="181" t="s">
        <v>72</v>
      </c>
      <c r="B34" s="217"/>
      <c r="C34" s="114"/>
      <c r="D34" s="27"/>
      <c r="E34" s="114"/>
      <c r="F34" s="28"/>
      <c r="G34" s="218"/>
      <c r="H34" s="28"/>
      <c r="I34" s="28"/>
      <c r="J34" s="28"/>
      <c r="K34" s="28"/>
      <c r="L34" s="28"/>
      <c r="M34" s="27"/>
      <c r="N34" s="149">
        <f>+N33*F11</f>
        <v>80640</v>
      </c>
      <c r="O34" s="78">
        <f>+O33*$F$11</f>
        <v>89812.800000000003</v>
      </c>
      <c r="P34" s="78">
        <f t="shared" ref="P34:Y34" si="2">+P33*$F$11</f>
        <v>98985.599999999991</v>
      </c>
      <c r="Q34" s="78">
        <f t="shared" si="2"/>
        <v>108158.39999999999</v>
      </c>
      <c r="R34" s="78">
        <f t="shared" si="2"/>
        <v>117331.2</v>
      </c>
      <c r="S34" s="78">
        <f t="shared" si="2"/>
        <v>126503.99999999999</v>
      </c>
      <c r="T34" s="77">
        <f t="shared" si="2"/>
        <v>135676.79999999999</v>
      </c>
      <c r="U34" s="78">
        <f t="shared" si="2"/>
        <v>144849.59999999998</v>
      </c>
      <c r="V34" s="78">
        <f t="shared" si="2"/>
        <v>154022.39999999999</v>
      </c>
      <c r="W34" s="78">
        <f t="shared" si="2"/>
        <v>163195.19999999998</v>
      </c>
      <c r="X34" s="78">
        <f t="shared" si="2"/>
        <v>172367.99999999997</v>
      </c>
      <c r="Y34" s="78">
        <f t="shared" si="2"/>
        <v>181540.79999999996</v>
      </c>
      <c r="Z34" s="78">
        <f>+Y34*(1+0.04)</f>
        <v>188802.43199999997</v>
      </c>
      <c r="AA34" s="78">
        <f>+Z34</f>
        <v>188802.43199999997</v>
      </c>
      <c r="AB34" s="78">
        <f t="shared" ref="AB34:BC34" si="3">+AA34</f>
        <v>188802.43199999997</v>
      </c>
      <c r="AC34" s="78">
        <f t="shared" si="3"/>
        <v>188802.43199999997</v>
      </c>
      <c r="AD34" s="78">
        <f t="shared" si="3"/>
        <v>188802.43199999997</v>
      </c>
      <c r="AE34" s="79">
        <f t="shared" si="3"/>
        <v>188802.43199999997</v>
      </c>
      <c r="AF34" s="78">
        <f t="shared" si="3"/>
        <v>188802.43199999997</v>
      </c>
      <c r="AG34" s="78">
        <f t="shared" si="3"/>
        <v>188802.43199999997</v>
      </c>
      <c r="AH34" s="78">
        <f t="shared" si="3"/>
        <v>188802.43199999997</v>
      </c>
      <c r="AI34" s="78">
        <f t="shared" si="3"/>
        <v>188802.43199999997</v>
      </c>
      <c r="AJ34" s="78">
        <f t="shared" si="3"/>
        <v>188802.43199999997</v>
      </c>
      <c r="AK34" s="78">
        <f t="shared" si="3"/>
        <v>188802.43199999997</v>
      </c>
      <c r="AL34" s="78">
        <f>+AK34*(1+$AL$30)</f>
        <v>196354.52927999999</v>
      </c>
      <c r="AM34" s="78">
        <f t="shared" si="3"/>
        <v>196354.52927999999</v>
      </c>
      <c r="AN34" s="78">
        <f t="shared" si="3"/>
        <v>196354.52927999999</v>
      </c>
      <c r="AO34" s="78">
        <f t="shared" si="3"/>
        <v>196354.52927999999</v>
      </c>
      <c r="AP34" s="78">
        <f t="shared" si="3"/>
        <v>196354.52927999999</v>
      </c>
      <c r="AQ34" s="78">
        <f t="shared" si="3"/>
        <v>196354.52927999999</v>
      </c>
      <c r="AR34" s="77">
        <f t="shared" si="3"/>
        <v>196354.52927999999</v>
      </c>
      <c r="AS34" s="78">
        <f t="shared" si="3"/>
        <v>196354.52927999999</v>
      </c>
      <c r="AT34" s="78">
        <f t="shared" si="3"/>
        <v>196354.52927999999</v>
      </c>
      <c r="AU34" s="78">
        <f t="shared" si="3"/>
        <v>196354.52927999999</v>
      </c>
      <c r="AV34" s="78">
        <f t="shared" si="3"/>
        <v>196354.52927999999</v>
      </c>
      <c r="AW34" s="78">
        <f t="shared" si="3"/>
        <v>196354.52927999999</v>
      </c>
      <c r="AX34" s="78">
        <f>+AW34*(1+$AX$30)</f>
        <v>204208.71045119999</v>
      </c>
      <c r="AY34" s="78">
        <f t="shared" si="3"/>
        <v>204208.71045119999</v>
      </c>
      <c r="AZ34" s="78">
        <f t="shared" si="3"/>
        <v>204208.71045119999</v>
      </c>
      <c r="BA34" s="78">
        <f t="shared" si="3"/>
        <v>204208.71045119999</v>
      </c>
      <c r="BB34" s="78">
        <f t="shared" si="3"/>
        <v>204208.71045119999</v>
      </c>
      <c r="BC34" s="79">
        <f t="shared" si="3"/>
        <v>204208.71045119999</v>
      </c>
      <c r="BD34" s="180"/>
    </row>
    <row r="35" spans="1:56" x14ac:dyDescent="0.3">
      <c r="A35" s="181"/>
      <c r="B35" s="217"/>
      <c r="C35" s="114"/>
      <c r="D35" s="27"/>
      <c r="E35" s="114"/>
      <c r="F35" s="28"/>
      <c r="G35" s="218"/>
      <c r="H35" s="28"/>
      <c r="I35" s="28"/>
      <c r="J35" s="28"/>
      <c r="K35" s="28"/>
      <c r="L35" s="28"/>
      <c r="M35" s="27"/>
      <c r="N35" s="157">
        <f>+G12</f>
        <v>0.2</v>
      </c>
      <c r="O35" s="183">
        <f>+N35+$H$12</f>
        <v>0.2545</v>
      </c>
      <c r="P35" s="183">
        <f t="shared" ref="P35:X35" si="4">+O35+$H$12</f>
        <v>0.309</v>
      </c>
      <c r="Q35" s="183">
        <f t="shared" si="4"/>
        <v>0.36349999999999999</v>
      </c>
      <c r="R35" s="183">
        <f t="shared" si="4"/>
        <v>0.41799999999999998</v>
      </c>
      <c r="S35" s="183">
        <f t="shared" si="4"/>
        <v>0.47249999999999998</v>
      </c>
      <c r="T35" s="209">
        <f t="shared" si="4"/>
        <v>0.52700000000000002</v>
      </c>
      <c r="U35" s="183">
        <f t="shared" si="4"/>
        <v>0.58150000000000002</v>
      </c>
      <c r="V35" s="183">
        <f t="shared" si="4"/>
        <v>0.63600000000000001</v>
      </c>
      <c r="W35" s="183">
        <f t="shared" si="4"/>
        <v>0.6905</v>
      </c>
      <c r="X35" s="183">
        <f t="shared" si="4"/>
        <v>0.745</v>
      </c>
      <c r="Y35" s="183">
        <f>+X35+$H$12</f>
        <v>0.79949999999999999</v>
      </c>
      <c r="Z35" s="27"/>
      <c r="AA35" s="27"/>
      <c r="AB35" s="27"/>
      <c r="AC35" s="27"/>
      <c r="AD35" s="27"/>
      <c r="AE35" s="48"/>
      <c r="AF35" s="27"/>
      <c r="AG35" s="27"/>
      <c r="AH35" s="27"/>
      <c r="AI35" s="27"/>
      <c r="AJ35" s="27"/>
      <c r="AK35" s="27"/>
      <c r="AL35" s="78"/>
      <c r="AM35" s="27"/>
      <c r="AN35" s="27"/>
      <c r="AO35" s="27"/>
      <c r="AP35" s="27"/>
      <c r="AQ35" s="27"/>
      <c r="AR35" s="47"/>
      <c r="AS35" s="27"/>
      <c r="AT35" s="27"/>
      <c r="AU35" s="27"/>
      <c r="AV35" s="27"/>
      <c r="AW35" s="27"/>
      <c r="AX35" s="78"/>
      <c r="AY35" s="27"/>
      <c r="AZ35" s="27"/>
      <c r="BA35" s="27"/>
      <c r="BB35" s="27"/>
      <c r="BC35" s="48"/>
      <c r="BD35" s="180"/>
    </row>
    <row r="36" spans="1:56" x14ac:dyDescent="0.3">
      <c r="A36" s="181" t="s">
        <v>73</v>
      </c>
      <c r="B36" s="217"/>
      <c r="C36" s="114"/>
      <c r="D36" s="27"/>
      <c r="E36" s="114"/>
      <c r="F36" s="28"/>
      <c r="G36" s="218"/>
      <c r="H36" s="28"/>
      <c r="I36" s="28"/>
      <c r="J36" s="28"/>
      <c r="K36" s="28"/>
      <c r="L36" s="28"/>
      <c r="M36" s="27"/>
      <c r="N36" s="149">
        <f>+$F$12*N35</f>
        <v>120000</v>
      </c>
      <c r="O36" s="149">
        <f t="shared" ref="O36:Y36" si="5">+$F$12*O35</f>
        <v>152700</v>
      </c>
      <c r="P36" s="149">
        <f t="shared" si="5"/>
        <v>185400</v>
      </c>
      <c r="Q36" s="149">
        <f t="shared" si="5"/>
        <v>218100</v>
      </c>
      <c r="R36" s="149">
        <f t="shared" si="5"/>
        <v>250800</v>
      </c>
      <c r="S36" s="149">
        <f t="shared" si="5"/>
        <v>283500</v>
      </c>
      <c r="T36" s="200">
        <f t="shared" si="5"/>
        <v>316200</v>
      </c>
      <c r="U36" s="149">
        <f t="shared" si="5"/>
        <v>348900</v>
      </c>
      <c r="V36" s="149">
        <f t="shared" si="5"/>
        <v>381600</v>
      </c>
      <c r="W36" s="149">
        <f t="shared" si="5"/>
        <v>414300</v>
      </c>
      <c r="X36" s="149">
        <f t="shared" si="5"/>
        <v>447000</v>
      </c>
      <c r="Y36" s="149">
        <f t="shared" si="5"/>
        <v>479700</v>
      </c>
      <c r="Z36" s="160">
        <f>+Y36*(1+0.04)</f>
        <v>498888</v>
      </c>
      <c r="AA36" s="78">
        <f>+Z36</f>
        <v>498888</v>
      </c>
      <c r="AB36" s="78">
        <f t="shared" ref="AB36:BC36" si="6">+AA36</f>
        <v>498888</v>
      </c>
      <c r="AC36" s="78">
        <f t="shared" si="6"/>
        <v>498888</v>
      </c>
      <c r="AD36" s="78">
        <f t="shared" si="6"/>
        <v>498888</v>
      </c>
      <c r="AE36" s="79">
        <f t="shared" si="6"/>
        <v>498888</v>
      </c>
      <c r="AF36" s="78">
        <f t="shared" si="6"/>
        <v>498888</v>
      </c>
      <c r="AG36" s="78">
        <f t="shared" si="6"/>
        <v>498888</v>
      </c>
      <c r="AH36" s="78">
        <f t="shared" si="6"/>
        <v>498888</v>
      </c>
      <c r="AI36" s="78">
        <f t="shared" si="6"/>
        <v>498888</v>
      </c>
      <c r="AJ36" s="78">
        <f t="shared" si="6"/>
        <v>498888</v>
      </c>
      <c r="AK36" s="78">
        <f t="shared" si="6"/>
        <v>498888</v>
      </c>
      <c r="AL36" s="78">
        <f>+AK36*(1+$AL$30)</f>
        <v>518843.52</v>
      </c>
      <c r="AM36" s="78">
        <f t="shared" si="6"/>
        <v>518843.52</v>
      </c>
      <c r="AN36" s="78">
        <f t="shared" si="6"/>
        <v>518843.52</v>
      </c>
      <c r="AO36" s="78">
        <f t="shared" si="6"/>
        <v>518843.52</v>
      </c>
      <c r="AP36" s="78">
        <f t="shared" si="6"/>
        <v>518843.52</v>
      </c>
      <c r="AQ36" s="78">
        <f t="shared" si="6"/>
        <v>518843.52</v>
      </c>
      <c r="AR36" s="77">
        <f t="shared" si="6"/>
        <v>518843.52</v>
      </c>
      <c r="AS36" s="78">
        <f t="shared" si="6"/>
        <v>518843.52</v>
      </c>
      <c r="AT36" s="78">
        <f t="shared" si="6"/>
        <v>518843.52</v>
      </c>
      <c r="AU36" s="78">
        <f t="shared" si="6"/>
        <v>518843.52</v>
      </c>
      <c r="AV36" s="78">
        <f t="shared" si="6"/>
        <v>518843.52</v>
      </c>
      <c r="AW36" s="78">
        <f t="shared" si="6"/>
        <v>518843.52</v>
      </c>
      <c r="AX36" s="78">
        <f t="shared" ref="AX36:AX40" si="7">+AW36*(1+$AX$30)</f>
        <v>539597.26080000005</v>
      </c>
      <c r="AY36" s="78">
        <f t="shared" si="6"/>
        <v>539597.26080000005</v>
      </c>
      <c r="AZ36" s="78">
        <f t="shared" si="6"/>
        <v>539597.26080000005</v>
      </c>
      <c r="BA36" s="78">
        <f t="shared" si="6"/>
        <v>539597.26080000005</v>
      </c>
      <c r="BB36" s="78">
        <f t="shared" si="6"/>
        <v>539597.26080000005</v>
      </c>
      <c r="BC36" s="79">
        <f t="shared" si="6"/>
        <v>539597.26080000005</v>
      </c>
      <c r="BD36" s="180"/>
    </row>
    <row r="37" spans="1:56" x14ac:dyDescent="0.3">
      <c r="A37" s="181"/>
      <c r="B37" s="217"/>
      <c r="C37" s="114"/>
      <c r="D37" s="27"/>
      <c r="E37" s="114"/>
      <c r="F37" s="28"/>
      <c r="G37" s="218"/>
      <c r="H37" s="28"/>
      <c r="I37" s="28"/>
      <c r="J37" s="28"/>
      <c r="K37" s="28"/>
      <c r="L37" s="28"/>
      <c r="M37" s="27"/>
      <c r="N37" s="157">
        <f>+G14</f>
        <v>0.2</v>
      </c>
      <c r="O37" s="158">
        <f>+N37+$H$14</f>
        <v>0.2545</v>
      </c>
      <c r="P37" s="158">
        <f t="shared" ref="P37:Y37" si="8">+O37+$H$14</f>
        <v>0.309</v>
      </c>
      <c r="Q37" s="158">
        <f t="shared" si="8"/>
        <v>0.36349999999999999</v>
      </c>
      <c r="R37" s="158">
        <f t="shared" si="8"/>
        <v>0.41799999999999998</v>
      </c>
      <c r="S37" s="158">
        <f t="shared" si="8"/>
        <v>0.47249999999999998</v>
      </c>
      <c r="T37" s="210">
        <f t="shared" si="8"/>
        <v>0.52700000000000002</v>
      </c>
      <c r="U37" s="158">
        <f t="shared" si="8"/>
        <v>0.58150000000000002</v>
      </c>
      <c r="V37" s="158">
        <f t="shared" si="8"/>
        <v>0.63600000000000001</v>
      </c>
      <c r="W37" s="158">
        <f t="shared" si="8"/>
        <v>0.6905</v>
      </c>
      <c r="X37" s="158">
        <f t="shared" si="8"/>
        <v>0.745</v>
      </c>
      <c r="Y37" s="158">
        <f t="shared" si="8"/>
        <v>0.79949999999999999</v>
      </c>
      <c r="Z37" s="27"/>
      <c r="AA37" s="27"/>
      <c r="AB37" s="27"/>
      <c r="AC37" s="27"/>
      <c r="AD37" s="27"/>
      <c r="AE37" s="48"/>
      <c r="AF37" s="27"/>
      <c r="AG37" s="27"/>
      <c r="AH37" s="27"/>
      <c r="AI37" s="27"/>
      <c r="AJ37" s="27"/>
      <c r="AK37" s="27"/>
      <c r="AL37" s="78"/>
      <c r="AM37" s="27"/>
      <c r="AN37" s="27"/>
      <c r="AO37" s="27"/>
      <c r="AP37" s="27"/>
      <c r="AQ37" s="27"/>
      <c r="AR37" s="47"/>
      <c r="AS37" s="27"/>
      <c r="AT37" s="27"/>
      <c r="AU37" s="27"/>
      <c r="AV37" s="27"/>
      <c r="AW37" s="27"/>
      <c r="AX37" s="78"/>
      <c r="AY37" s="27"/>
      <c r="AZ37" s="27"/>
      <c r="BA37" s="27"/>
      <c r="BB37" s="27"/>
      <c r="BC37" s="48"/>
      <c r="BD37" s="180"/>
    </row>
    <row r="38" spans="1:56" x14ac:dyDescent="0.3">
      <c r="A38" s="181" t="s">
        <v>74</v>
      </c>
      <c r="B38" s="217"/>
      <c r="C38" s="114"/>
      <c r="D38" s="27"/>
      <c r="E38" s="114"/>
      <c r="F38" s="28"/>
      <c r="G38" s="218"/>
      <c r="H38" s="28"/>
      <c r="I38" s="28"/>
      <c r="J38" s="28"/>
      <c r="K38" s="28"/>
      <c r="L38" s="28"/>
      <c r="M38" s="27"/>
      <c r="N38" s="149">
        <f>+N37*$F$14</f>
        <v>23166</v>
      </c>
      <c r="O38" s="149">
        <f t="shared" ref="O38:Y38" si="9">+O37*$F$14</f>
        <v>29478.735000000001</v>
      </c>
      <c r="P38" s="149">
        <f t="shared" si="9"/>
        <v>35791.47</v>
      </c>
      <c r="Q38" s="149">
        <f t="shared" si="9"/>
        <v>42104.205000000002</v>
      </c>
      <c r="R38" s="149">
        <f t="shared" si="9"/>
        <v>48416.939999999995</v>
      </c>
      <c r="S38" s="149">
        <f t="shared" si="9"/>
        <v>54729.674999999996</v>
      </c>
      <c r="T38" s="200">
        <f t="shared" si="9"/>
        <v>61042.41</v>
      </c>
      <c r="U38" s="149">
        <f t="shared" si="9"/>
        <v>67355.145000000004</v>
      </c>
      <c r="V38" s="149">
        <f t="shared" si="9"/>
        <v>73667.88</v>
      </c>
      <c r="W38" s="149">
        <f t="shared" si="9"/>
        <v>79980.615000000005</v>
      </c>
      <c r="X38" s="149">
        <f t="shared" si="9"/>
        <v>86293.35</v>
      </c>
      <c r="Y38" s="149">
        <f t="shared" si="9"/>
        <v>92606.084999999992</v>
      </c>
      <c r="Z38" s="160">
        <f>+Y38*(1+0.04)</f>
        <v>96310.328399999999</v>
      </c>
      <c r="AA38" s="78">
        <f>+Z38</f>
        <v>96310.328399999999</v>
      </c>
      <c r="AB38" s="78">
        <f t="shared" ref="AB38:BC38" si="10">+AA38</f>
        <v>96310.328399999999</v>
      </c>
      <c r="AC38" s="78">
        <f t="shared" si="10"/>
        <v>96310.328399999999</v>
      </c>
      <c r="AD38" s="78">
        <f t="shared" si="10"/>
        <v>96310.328399999999</v>
      </c>
      <c r="AE38" s="79">
        <f t="shared" si="10"/>
        <v>96310.328399999999</v>
      </c>
      <c r="AF38" s="78">
        <f t="shared" si="10"/>
        <v>96310.328399999999</v>
      </c>
      <c r="AG38" s="78">
        <f t="shared" si="10"/>
        <v>96310.328399999999</v>
      </c>
      <c r="AH38" s="78">
        <f t="shared" si="10"/>
        <v>96310.328399999999</v>
      </c>
      <c r="AI38" s="78">
        <f t="shared" si="10"/>
        <v>96310.328399999999</v>
      </c>
      <c r="AJ38" s="78">
        <f t="shared" si="10"/>
        <v>96310.328399999999</v>
      </c>
      <c r="AK38" s="78">
        <f t="shared" si="10"/>
        <v>96310.328399999999</v>
      </c>
      <c r="AL38" s="78">
        <f t="shared" ref="AL38:AL40" si="11">+AK38*(1+$AL$30)</f>
        <v>100162.741536</v>
      </c>
      <c r="AM38" s="78">
        <f t="shared" si="10"/>
        <v>100162.741536</v>
      </c>
      <c r="AN38" s="78">
        <f t="shared" si="10"/>
        <v>100162.741536</v>
      </c>
      <c r="AO38" s="78">
        <f t="shared" si="10"/>
        <v>100162.741536</v>
      </c>
      <c r="AP38" s="78">
        <f t="shared" si="10"/>
        <v>100162.741536</v>
      </c>
      <c r="AQ38" s="78">
        <f t="shared" si="10"/>
        <v>100162.741536</v>
      </c>
      <c r="AR38" s="77">
        <f t="shared" si="10"/>
        <v>100162.741536</v>
      </c>
      <c r="AS38" s="78">
        <f t="shared" si="10"/>
        <v>100162.741536</v>
      </c>
      <c r="AT38" s="78">
        <f t="shared" si="10"/>
        <v>100162.741536</v>
      </c>
      <c r="AU38" s="78">
        <f t="shared" si="10"/>
        <v>100162.741536</v>
      </c>
      <c r="AV38" s="78">
        <f t="shared" si="10"/>
        <v>100162.741536</v>
      </c>
      <c r="AW38" s="78">
        <f t="shared" si="10"/>
        <v>100162.741536</v>
      </c>
      <c r="AX38" s="78">
        <f t="shared" si="7"/>
        <v>104169.25119744001</v>
      </c>
      <c r="AY38" s="78">
        <f t="shared" si="10"/>
        <v>104169.25119744001</v>
      </c>
      <c r="AZ38" s="78">
        <f t="shared" si="10"/>
        <v>104169.25119744001</v>
      </c>
      <c r="BA38" s="78">
        <f t="shared" si="10"/>
        <v>104169.25119744001</v>
      </c>
      <c r="BB38" s="78">
        <f t="shared" si="10"/>
        <v>104169.25119744001</v>
      </c>
      <c r="BC38" s="79">
        <f t="shared" si="10"/>
        <v>104169.25119744001</v>
      </c>
      <c r="BD38" s="180"/>
    </row>
    <row r="39" spans="1:56" x14ac:dyDescent="0.3">
      <c r="A39" s="181"/>
      <c r="B39" s="217"/>
      <c r="C39" s="114"/>
      <c r="D39" s="27"/>
      <c r="E39" s="114"/>
      <c r="F39" s="28"/>
      <c r="G39" s="218"/>
      <c r="H39" s="28"/>
      <c r="I39" s="28"/>
      <c r="J39" s="28"/>
      <c r="K39" s="28"/>
      <c r="L39" s="28"/>
      <c r="M39" s="27"/>
      <c r="N39" s="159">
        <f>+H22</f>
        <v>0.86559139784946237</v>
      </c>
      <c r="O39" s="159">
        <f>+N39+$J$21</f>
        <v>0.87536656891495601</v>
      </c>
      <c r="P39" s="159">
        <f t="shared" ref="P39:Y39" si="12">+O39+$J$21</f>
        <v>0.88514173998044965</v>
      </c>
      <c r="Q39" s="159">
        <f t="shared" si="12"/>
        <v>0.89491691104594329</v>
      </c>
      <c r="R39" s="159">
        <f t="shared" si="12"/>
        <v>0.90469208211143692</v>
      </c>
      <c r="S39" s="159">
        <f t="shared" si="12"/>
        <v>0.91446725317693056</v>
      </c>
      <c r="T39" s="194">
        <f t="shared" si="12"/>
        <v>0.9242424242424242</v>
      </c>
      <c r="U39" s="159">
        <f t="shared" si="12"/>
        <v>0.93401759530791784</v>
      </c>
      <c r="V39" s="159">
        <f t="shared" si="12"/>
        <v>0.94379276637341147</v>
      </c>
      <c r="W39" s="159">
        <f t="shared" si="12"/>
        <v>0.95356793743890511</v>
      </c>
      <c r="X39" s="159">
        <f t="shared" si="12"/>
        <v>0.96334310850439875</v>
      </c>
      <c r="Y39" s="159">
        <f t="shared" si="12"/>
        <v>0.97311827956989239</v>
      </c>
      <c r="Z39" s="159"/>
      <c r="AA39" s="159"/>
      <c r="AB39" s="159"/>
      <c r="AC39" s="159"/>
      <c r="AD39" s="159"/>
      <c r="AE39" s="195"/>
      <c r="AF39" s="159"/>
      <c r="AG39" s="159"/>
      <c r="AH39" s="159"/>
      <c r="AI39" s="159"/>
      <c r="AJ39" s="159"/>
      <c r="AK39" s="159"/>
      <c r="AL39" s="78"/>
      <c r="AM39" s="159"/>
      <c r="AN39" s="159"/>
      <c r="AO39" s="159"/>
      <c r="AP39" s="159"/>
      <c r="AQ39" s="159"/>
      <c r="AR39" s="194"/>
      <c r="AS39" s="159"/>
      <c r="AT39" s="159"/>
      <c r="AU39" s="159"/>
      <c r="AV39" s="159"/>
      <c r="AW39" s="159"/>
      <c r="AX39" s="78"/>
      <c r="AY39" s="159"/>
      <c r="AZ39" s="159"/>
      <c r="BA39" s="159"/>
      <c r="BB39" s="159"/>
      <c r="BC39" s="195"/>
      <c r="BD39" s="180"/>
    </row>
    <row r="40" spans="1:56" x14ac:dyDescent="0.3">
      <c r="A40" s="181" t="s">
        <v>75</v>
      </c>
      <c r="B40" s="217"/>
      <c r="C40" s="114"/>
      <c r="D40" s="27"/>
      <c r="E40" s="114"/>
      <c r="F40" s="28"/>
      <c r="G40" s="218"/>
      <c r="H40" s="28"/>
      <c r="I40" s="28"/>
      <c r="J40" s="28"/>
      <c r="K40" s="28"/>
      <c r="L40" s="28"/>
      <c r="M40" s="27"/>
      <c r="N40" s="149">
        <f>+N39*$F$18</f>
        <v>1210961.5</v>
      </c>
      <c r="O40" s="149">
        <f t="shared" ref="O40:T40" si="13">+O39*$F$18</f>
        <v>1224636.9545454546</v>
      </c>
      <c r="P40" s="149">
        <f t="shared" si="13"/>
        <v>1238312.4090909092</v>
      </c>
      <c r="Q40" s="149">
        <f t="shared" si="13"/>
        <v>1251987.8636363635</v>
      </c>
      <c r="R40" s="149">
        <f t="shared" si="13"/>
        <v>1265663.3181818181</v>
      </c>
      <c r="S40" s="149">
        <f t="shared" si="13"/>
        <v>1279338.7727272727</v>
      </c>
      <c r="T40" s="200">
        <f t="shared" si="13"/>
        <v>1293014.2272727273</v>
      </c>
      <c r="U40" s="149">
        <f>+U39*$F$18</f>
        <v>1306689.6818181816</v>
      </c>
      <c r="V40" s="149">
        <f t="shared" ref="V40" si="14">+V39*$F$18</f>
        <v>1320365.1363636362</v>
      </c>
      <c r="W40" s="149">
        <f t="shared" ref="W40" si="15">+W39*$F$18</f>
        <v>1334040.5909090908</v>
      </c>
      <c r="X40" s="149">
        <f t="shared" ref="X40" si="16">+X39*$F$18</f>
        <v>1347716.0454545454</v>
      </c>
      <c r="Y40" s="149">
        <f t="shared" ref="Y40" si="17">+Y39*$F$18</f>
        <v>1361391.4999999998</v>
      </c>
      <c r="Z40" s="160">
        <f>+Y40*(1+0.04)</f>
        <v>1415847.16</v>
      </c>
      <c r="AA40" s="78">
        <f>+Z40</f>
        <v>1415847.16</v>
      </c>
      <c r="AB40" s="78">
        <f t="shared" ref="AB40:BC40" si="18">+AA40</f>
        <v>1415847.16</v>
      </c>
      <c r="AC40" s="78">
        <f t="shared" si="18"/>
        <v>1415847.16</v>
      </c>
      <c r="AD40" s="78">
        <f t="shared" si="18"/>
        <v>1415847.16</v>
      </c>
      <c r="AE40" s="79">
        <f t="shared" si="18"/>
        <v>1415847.16</v>
      </c>
      <c r="AF40" s="78">
        <f t="shared" si="18"/>
        <v>1415847.16</v>
      </c>
      <c r="AG40" s="78">
        <f t="shared" si="18"/>
        <v>1415847.16</v>
      </c>
      <c r="AH40" s="78">
        <f t="shared" si="18"/>
        <v>1415847.16</v>
      </c>
      <c r="AI40" s="78">
        <f t="shared" si="18"/>
        <v>1415847.16</v>
      </c>
      <c r="AJ40" s="78">
        <f t="shared" si="18"/>
        <v>1415847.16</v>
      </c>
      <c r="AK40" s="78">
        <f t="shared" si="18"/>
        <v>1415847.16</v>
      </c>
      <c r="AL40" s="78">
        <f t="shared" si="11"/>
        <v>1472481.0463999999</v>
      </c>
      <c r="AM40" s="78">
        <f t="shared" si="18"/>
        <v>1472481.0463999999</v>
      </c>
      <c r="AN40" s="78">
        <f t="shared" si="18"/>
        <v>1472481.0463999999</v>
      </c>
      <c r="AO40" s="78">
        <f t="shared" si="18"/>
        <v>1472481.0463999999</v>
      </c>
      <c r="AP40" s="78">
        <f t="shared" si="18"/>
        <v>1472481.0463999999</v>
      </c>
      <c r="AQ40" s="78">
        <f t="shared" si="18"/>
        <v>1472481.0463999999</v>
      </c>
      <c r="AR40" s="77">
        <f t="shared" si="18"/>
        <v>1472481.0463999999</v>
      </c>
      <c r="AS40" s="78">
        <f t="shared" si="18"/>
        <v>1472481.0463999999</v>
      </c>
      <c r="AT40" s="78">
        <f t="shared" si="18"/>
        <v>1472481.0463999999</v>
      </c>
      <c r="AU40" s="78">
        <f t="shared" si="18"/>
        <v>1472481.0463999999</v>
      </c>
      <c r="AV40" s="78">
        <f t="shared" si="18"/>
        <v>1472481.0463999999</v>
      </c>
      <c r="AW40" s="78">
        <f t="shared" si="18"/>
        <v>1472481.0463999999</v>
      </c>
      <c r="AX40" s="78">
        <f t="shared" si="7"/>
        <v>1531380.288256</v>
      </c>
      <c r="AY40" s="78">
        <f t="shared" si="18"/>
        <v>1531380.288256</v>
      </c>
      <c r="AZ40" s="78">
        <f t="shared" si="18"/>
        <v>1531380.288256</v>
      </c>
      <c r="BA40" s="78">
        <f t="shared" si="18"/>
        <v>1531380.288256</v>
      </c>
      <c r="BB40" s="78">
        <f t="shared" si="18"/>
        <v>1531380.288256</v>
      </c>
      <c r="BC40" s="79">
        <f t="shared" si="18"/>
        <v>1531380.288256</v>
      </c>
      <c r="BD40" s="180"/>
    </row>
    <row r="41" spans="1:56" s="119" customFormat="1" x14ac:dyDescent="0.3">
      <c r="A41" s="184" t="s">
        <v>77</v>
      </c>
      <c r="B41" s="219"/>
      <c r="C41" s="150"/>
      <c r="D41" s="44"/>
      <c r="E41" s="150"/>
      <c r="F41" s="151"/>
      <c r="G41" s="220"/>
      <c r="H41" s="151"/>
      <c r="I41" s="151"/>
      <c r="J41" s="151"/>
      <c r="K41" s="151"/>
      <c r="L41" s="151"/>
      <c r="M41" s="44"/>
      <c r="N41" s="152">
        <f>+N34+N36+N38+N40</f>
        <v>1434767.5</v>
      </c>
      <c r="O41" s="152">
        <f t="shared" ref="O41:AA41" si="19">+O34+O36+O38+O40</f>
        <v>1496628.4895454545</v>
      </c>
      <c r="P41" s="152">
        <f t="shared" si="19"/>
        <v>1558489.479090909</v>
      </c>
      <c r="Q41" s="152">
        <f t="shared" si="19"/>
        <v>1620350.4686363635</v>
      </c>
      <c r="R41" s="152">
        <f t="shared" si="19"/>
        <v>1682211.458181818</v>
      </c>
      <c r="S41" s="152">
        <f t="shared" si="19"/>
        <v>1744072.4477272728</v>
      </c>
      <c r="T41" s="196">
        <f t="shared" si="19"/>
        <v>1805933.4372727273</v>
      </c>
      <c r="U41" s="152">
        <f t="shared" si="19"/>
        <v>1867794.4268181818</v>
      </c>
      <c r="V41" s="152">
        <f t="shared" si="19"/>
        <v>1929655.4163636363</v>
      </c>
      <c r="W41" s="152">
        <f t="shared" si="19"/>
        <v>1991516.4059090908</v>
      </c>
      <c r="X41" s="152">
        <f t="shared" si="19"/>
        <v>2053377.3954545455</v>
      </c>
      <c r="Y41" s="152">
        <f t="shared" si="19"/>
        <v>2115238.3849999998</v>
      </c>
      <c r="Z41" s="152">
        <f t="shared" si="19"/>
        <v>2199847.9204000002</v>
      </c>
      <c r="AA41" s="152">
        <f t="shared" si="19"/>
        <v>2199847.9204000002</v>
      </c>
      <c r="AB41" s="152">
        <f t="shared" ref="AB41" si="20">+AB34+AB36+AB38+AB40</f>
        <v>2199847.9204000002</v>
      </c>
      <c r="AC41" s="152">
        <f t="shared" ref="AC41" si="21">+AC34+AC36+AC38+AC40</f>
        <v>2199847.9204000002</v>
      </c>
      <c r="AD41" s="152">
        <f t="shared" ref="AD41" si="22">+AD34+AD36+AD38+AD40</f>
        <v>2199847.9204000002</v>
      </c>
      <c r="AE41" s="197">
        <f t="shared" ref="AE41" si="23">+AE34+AE36+AE38+AE40</f>
        <v>2199847.9204000002</v>
      </c>
      <c r="AF41" s="152">
        <f t="shared" ref="AF41" si="24">+AF34+AF36+AF38+AF40</f>
        <v>2199847.9204000002</v>
      </c>
      <c r="AG41" s="152">
        <f t="shared" ref="AG41" si="25">+AG34+AG36+AG38+AG40</f>
        <v>2199847.9204000002</v>
      </c>
      <c r="AH41" s="152">
        <f t="shared" ref="AH41" si="26">+AH34+AH36+AH38+AH40</f>
        <v>2199847.9204000002</v>
      </c>
      <c r="AI41" s="152">
        <f t="shared" ref="AI41" si="27">+AI34+AI36+AI38+AI40</f>
        <v>2199847.9204000002</v>
      </c>
      <c r="AJ41" s="152">
        <f t="shared" ref="AJ41" si="28">+AJ34+AJ36+AJ38+AJ40</f>
        <v>2199847.9204000002</v>
      </c>
      <c r="AK41" s="152">
        <f t="shared" ref="AK41" si="29">+AK34+AK36+AK38+AK40</f>
        <v>2199847.9204000002</v>
      </c>
      <c r="AL41" s="152">
        <f t="shared" ref="AL41" si="30">+AL34+AL36+AL38+AL40</f>
        <v>2287841.8372160001</v>
      </c>
      <c r="AM41" s="152">
        <f t="shared" ref="AM41" si="31">+AM34+AM36+AM38+AM40</f>
        <v>2287841.8372160001</v>
      </c>
      <c r="AN41" s="152">
        <f t="shared" ref="AN41" si="32">+AN34+AN36+AN38+AN40</f>
        <v>2287841.8372160001</v>
      </c>
      <c r="AO41" s="152">
        <f t="shared" ref="AO41" si="33">+AO34+AO36+AO38+AO40</f>
        <v>2287841.8372160001</v>
      </c>
      <c r="AP41" s="152">
        <f t="shared" ref="AP41" si="34">+AP34+AP36+AP38+AP40</f>
        <v>2287841.8372160001</v>
      </c>
      <c r="AQ41" s="152">
        <f t="shared" ref="AQ41" si="35">+AQ34+AQ36+AQ38+AQ40</f>
        <v>2287841.8372160001</v>
      </c>
      <c r="AR41" s="196">
        <f t="shared" ref="AR41" si="36">+AR34+AR36+AR38+AR40</f>
        <v>2287841.8372160001</v>
      </c>
      <c r="AS41" s="152">
        <f t="shared" ref="AS41" si="37">+AS34+AS36+AS38+AS40</f>
        <v>2287841.8372160001</v>
      </c>
      <c r="AT41" s="152">
        <f t="shared" ref="AT41" si="38">+AT34+AT36+AT38+AT40</f>
        <v>2287841.8372160001</v>
      </c>
      <c r="AU41" s="152">
        <f t="shared" ref="AU41" si="39">+AU34+AU36+AU38+AU40</f>
        <v>2287841.8372160001</v>
      </c>
      <c r="AV41" s="152">
        <f t="shared" ref="AV41" si="40">+AV34+AV36+AV38+AV40</f>
        <v>2287841.8372160001</v>
      </c>
      <c r="AW41" s="152">
        <f t="shared" ref="AW41" si="41">+AW34+AW36+AW38+AW40</f>
        <v>2287841.8372160001</v>
      </c>
      <c r="AX41" s="152">
        <f t="shared" ref="AX41" si="42">+AX34+AX36+AX38+AX40</f>
        <v>2379355.5107046403</v>
      </c>
      <c r="AY41" s="152">
        <f t="shared" ref="AY41" si="43">+AY34+AY36+AY38+AY40</f>
        <v>2379355.5107046403</v>
      </c>
      <c r="AZ41" s="152">
        <f t="shared" ref="AZ41" si="44">+AZ34+AZ36+AZ38+AZ40</f>
        <v>2379355.5107046403</v>
      </c>
      <c r="BA41" s="152">
        <f t="shared" ref="BA41" si="45">+BA34+BA36+BA38+BA40</f>
        <v>2379355.5107046403</v>
      </c>
      <c r="BB41" s="152">
        <f t="shared" ref="BB41" si="46">+BB34+BB36+BB38+BB40</f>
        <v>2379355.5107046403</v>
      </c>
      <c r="BC41" s="197">
        <f t="shared" ref="BC41" si="47">+BC34+BC36+BC38+BC40</f>
        <v>2379355.5107046403</v>
      </c>
      <c r="BD41" s="185"/>
    </row>
    <row r="42" spans="1:56" x14ac:dyDescent="0.3">
      <c r="A42" s="181"/>
      <c r="B42" s="217"/>
      <c r="C42" s="114"/>
      <c r="D42" s="114"/>
      <c r="E42" s="114"/>
      <c r="F42" s="28"/>
      <c r="G42" s="218"/>
      <c r="H42" s="28"/>
      <c r="I42" s="28"/>
      <c r="J42" s="28"/>
      <c r="K42" s="28"/>
      <c r="L42" s="28"/>
      <c r="M42" s="28"/>
      <c r="N42" s="148"/>
      <c r="O42" s="27"/>
      <c r="P42" s="27"/>
      <c r="Q42" s="27"/>
      <c r="R42" s="27"/>
      <c r="S42" s="27"/>
      <c r="T42" s="47"/>
      <c r="U42" s="27"/>
      <c r="V42" s="27"/>
      <c r="W42" s="27"/>
      <c r="X42" s="27"/>
      <c r="Y42" s="27"/>
      <c r="Z42" s="27"/>
      <c r="AA42" s="27"/>
      <c r="AB42" s="27"/>
      <c r="AC42" s="27"/>
      <c r="AD42" s="27"/>
      <c r="AE42" s="48"/>
      <c r="AF42" s="27"/>
      <c r="AG42" s="27"/>
      <c r="AH42" s="27"/>
      <c r="AI42" s="27"/>
      <c r="AJ42" s="27"/>
      <c r="AK42" s="27"/>
      <c r="AL42" s="27"/>
      <c r="AM42" s="27"/>
      <c r="AN42" s="27"/>
      <c r="AO42" s="27"/>
      <c r="AP42" s="27"/>
      <c r="AQ42" s="27"/>
      <c r="AR42" s="47"/>
      <c r="AS42" s="27"/>
      <c r="AT42" s="27"/>
      <c r="AU42" s="27"/>
      <c r="AV42" s="27"/>
      <c r="AW42" s="27"/>
      <c r="AX42" s="27"/>
      <c r="AY42" s="27"/>
      <c r="AZ42" s="27"/>
      <c r="BA42" s="27"/>
      <c r="BB42" s="27"/>
      <c r="BC42" s="48"/>
      <c r="BD42" s="180"/>
    </row>
    <row r="43" spans="1:56" x14ac:dyDescent="0.3">
      <c r="A43" s="181" t="s">
        <v>78</v>
      </c>
      <c r="B43" s="217"/>
      <c r="C43" s="114"/>
      <c r="D43" s="114"/>
      <c r="E43" s="114"/>
      <c r="F43" s="29"/>
      <c r="G43" s="221"/>
      <c r="H43" s="29"/>
      <c r="I43" s="29"/>
      <c r="J43" s="29"/>
      <c r="K43" s="29"/>
      <c r="L43" s="29"/>
      <c r="M43" s="29"/>
      <c r="N43" s="148"/>
      <c r="O43" s="27"/>
      <c r="P43" s="27"/>
      <c r="Q43" s="27"/>
      <c r="R43" s="27"/>
      <c r="S43" s="27"/>
      <c r="T43" s="47"/>
      <c r="U43" s="27"/>
      <c r="V43" s="27"/>
      <c r="W43" s="27"/>
      <c r="X43" s="27"/>
      <c r="Y43" s="27"/>
      <c r="Z43" s="27"/>
      <c r="AA43" s="27"/>
      <c r="AB43" s="27"/>
      <c r="AC43" s="27"/>
      <c r="AD43" s="27"/>
      <c r="AE43" s="48"/>
      <c r="AF43" s="27"/>
      <c r="AG43" s="27"/>
      <c r="AH43" s="27"/>
      <c r="AI43" s="27"/>
      <c r="AJ43" s="27"/>
      <c r="AK43" s="27"/>
      <c r="AL43" s="27"/>
      <c r="AM43" s="27"/>
      <c r="AN43" s="27"/>
      <c r="AO43" s="27"/>
      <c r="AP43" s="27"/>
      <c r="AQ43" s="27"/>
      <c r="AR43" s="47"/>
      <c r="AS43" s="27"/>
      <c r="AT43" s="27"/>
      <c r="AU43" s="27"/>
      <c r="AV43" s="27"/>
      <c r="AW43" s="27"/>
      <c r="AX43" s="27"/>
      <c r="AY43" s="27"/>
      <c r="AZ43" s="27"/>
      <c r="BA43" s="27"/>
      <c r="BB43" s="27"/>
      <c r="BC43" s="48"/>
      <c r="BD43" s="180"/>
    </row>
    <row r="44" spans="1:56" x14ac:dyDescent="0.3">
      <c r="A44" s="181" t="s">
        <v>79</v>
      </c>
      <c r="B44" s="217"/>
      <c r="C44" s="114"/>
      <c r="D44" s="27"/>
      <c r="E44" s="27"/>
      <c r="F44" s="29"/>
      <c r="G44" s="221"/>
      <c r="H44" s="29"/>
      <c r="I44" s="29"/>
      <c r="J44" s="29"/>
      <c r="K44" s="29"/>
      <c r="L44" s="29"/>
      <c r="M44" s="29"/>
      <c r="N44" s="149">
        <v>148001.37</v>
      </c>
      <c r="O44" s="149">
        <v>148001.37</v>
      </c>
      <c r="P44" s="149">
        <v>148001.37</v>
      </c>
      <c r="Q44" s="149">
        <v>148001.37</v>
      </c>
      <c r="R44" s="149">
        <v>148001.37</v>
      </c>
      <c r="S44" s="149">
        <v>148001.37</v>
      </c>
      <c r="T44" s="200">
        <v>148001.37</v>
      </c>
      <c r="U44" s="149">
        <v>148001.37</v>
      </c>
      <c r="V44" s="149">
        <v>148001.37</v>
      </c>
      <c r="W44" s="149">
        <v>148001.37</v>
      </c>
      <c r="X44" s="149">
        <v>148001.37</v>
      </c>
      <c r="Y44" s="149">
        <v>148001.37</v>
      </c>
      <c r="Z44" s="118">
        <f>+Y44*(1+$Z$31)</f>
        <v>153921.42480000001</v>
      </c>
      <c r="AA44" s="118">
        <f t="shared" ref="AA44:AA49" si="48">+Z44</f>
        <v>153921.42480000001</v>
      </c>
      <c r="AB44" s="118">
        <f t="shared" ref="AB44:AK44" si="49">+AA44</f>
        <v>153921.42480000001</v>
      </c>
      <c r="AC44" s="118">
        <f t="shared" si="49"/>
        <v>153921.42480000001</v>
      </c>
      <c r="AD44" s="118">
        <f t="shared" si="49"/>
        <v>153921.42480000001</v>
      </c>
      <c r="AE44" s="199">
        <f t="shared" si="49"/>
        <v>153921.42480000001</v>
      </c>
      <c r="AF44" s="118">
        <f t="shared" si="49"/>
        <v>153921.42480000001</v>
      </c>
      <c r="AG44" s="118">
        <f t="shared" si="49"/>
        <v>153921.42480000001</v>
      </c>
      <c r="AH44" s="118">
        <f t="shared" si="49"/>
        <v>153921.42480000001</v>
      </c>
      <c r="AI44" s="118">
        <f t="shared" si="49"/>
        <v>153921.42480000001</v>
      </c>
      <c r="AJ44" s="118">
        <f t="shared" si="49"/>
        <v>153921.42480000001</v>
      </c>
      <c r="AK44" s="118">
        <f t="shared" si="49"/>
        <v>153921.42480000001</v>
      </c>
      <c r="AL44" s="118">
        <f t="shared" ref="AL44:BC44" si="50">+AK44*(1+$Z$31)</f>
        <v>160078.28179200002</v>
      </c>
      <c r="AM44" s="118">
        <f t="shared" ref="AM44:AM49" si="51">+AL44</f>
        <v>160078.28179200002</v>
      </c>
      <c r="AN44" s="118">
        <f t="shared" ref="AN44:AW44" si="52">+AM44</f>
        <v>160078.28179200002</v>
      </c>
      <c r="AO44" s="118">
        <f t="shared" si="52"/>
        <v>160078.28179200002</v>
      </c>
      <c r="AP44" s="118">
        <f t="shared" si="52"/>
        <v>160078.28179200002</v>
      </c>
      <c r="AQ44" s="118">
        <f t="shared" si="52"/>
        <v>160078.28179200002</v>
      </c>
      <c r="AR44" s="198">
        <f t="shared" si="52"/>
        <v>160078.28179200002</v>
      </c>
      <c r="AS44" s="118">
        <f t="shared" si="52"/>
        <v>160078.28179200002</v>
      </c>
      <c r="AT44" s="118">
        <f t="shared" si="52"/>
        <v>160078.28179200002</v>
      </c>
      <c r="AU44" s="118">
        <f t="shared" si="52"/>
        <v>160078.28179200002</v>
      </c>
      <c r="AV44" s="118">
        <f t="shared" si="52"/>
        <v>160078.28179200002</v>
      </c>
      <c r="AW44" s="118">
        <f t="shared" si="52"/>
        <v>160078.28179200002</v>
      </c>
      <c r="AX44" s="118">
        <f t="shared" si="50"/>
        <v>166481.41306368003</v>
      </c>
      <c r="AY44" s="118">
        <f t="shared" ref="AY44:AY49" si="53">+AX44</f>
        <v>166481.41306368003</v>
      </c>
      <c r="AZ44" s="118">
        <f t="shared" si="50"/>
        <v>173140.66958622725</v>
      </c>
      <c r="BA44" s="118">
        <f t="shared" si="50"/>
        <v>180066.29636967633</v>
      </c>
      <c r="BB44" s="118">
        <f t="shared" si="50"/>
        <v>187268.94822446338</v>
      </c>
      <c r="BC44" s="199">
        <f t="shared" si="50"/>
        <v>194759.70615344192</v>
      </c>
      <c r="BD44" s="180"/>
    </row>
    <row r="45" spans="1:56" x14ac:dyDescent="0.3">
      <c r="A45" s="181" t="s">
        <v>80</v>
      </c>
      <c r="B45" s="217"/>
      <c r="C45" s="114"/>
      <c r="D45" s="27"/>
      <c r="E45" s="27"/>
      <c r="F45" s="29"/>
      <c r="G45" s="221"/>
      <c r="H45" s="29"/>
      <c r="I45" s="29"/>
      <c r="J45" s="29"/>
      <c r="K45" s="29"/>
      <c r="L45" s="29"/>
      <c r="M45" s="29"/>
      <c r="N45" s="149">
        <v>8906.67</v>
      </c>
      <c r="O45" s="149">
        <v>8906.67</v>
      </c>
      <c r="P45" s="149">
        <v>8906.67</v>
      </c>
      <c r="Q45" s="149">
        <v>8906.67</v>
      </c>
      <c r="R45" s="149">
        <v>8906.67</v>
      </c>
      <c r="S45" s="149">
        <v>8906.67</v>
      </c>
      <c r="T45" s="200">
        <v>8906.67</v>
      </c>
      <c r="U45" s="149">
        <v>8906.67</v>
      </c>
      <c r="V45" s="149">
        <v>8906.67</v>
      </c>
      <c r="W45" s="149">
        <v>8906.67</v>
      </c>
      <c r="X45" s="149">
        <v>8906.67</v>
      </c>
      <c r="Y45" s="149">
        <v>8906.67</v>
      </c>
      <c r="Z45" s="118">
        <f t="shared" ref="Z45:Z49" si="54">+Y45*(1+$Z$31)</f>
        <v>9262.9367999999995</v>
      </c>
      <c r="AA45" s="118">
        <f t="shared" si="48"/>
        <v>9262.9367999999995</v>
      </c>
      <c r="AB45" s="118">
        <f t="shared" ref="AB45:AK45" si="55">+AA45</f>
        <v>9262.9367999999995</v>
      </c>
      <c r="AC45" s="118">
        <f t="shared" si="55"/>
        <v>9262.9367999999995</v>
      </c>
      <c r="AD45" s="118">
        <f t="shared" si="55"/>
        <v>9262.9367999999995</v>
      </c>
      <c r="AE45" s="199">
        <f t="shared" si="55"/>
        <v>9262.9367999999995</v>
      </c>
      <c r="AF45" s="118">
        <f t="shared" si="55"/>
        <v>9262.9367999999995</v>
      </c>
      <c r="AG45" s="118">
        <f t="shared" si="55"/>
        <v>9262.9367999999995</v>
      </c>
      <c r="AH45" s="118">
        <f t="shared" si="55"/>
        <v>9262.9367999999995</v>
      </c>
      <c r="AI45" s="118">
        <f t="shared" si="55"/>
        <v>9262.9367999999995</v>
      </c>
      <c r="AJ45" s="118">
        <f t="shared" si="55"/>
        <v>9262.9367999999995</v>
      </c>
      <c r="AK45" s="118">
        <f t="shared" si="55"/>
        <v>9262.9367999999995</v>
      </c>
      <c r="AL45" s="118">
        <f t="shared" ref="AL45:BC45" si="56">+AK45*(1+$Z$31)</f>
        <v>9633.454271999999</v>
      </c>
      <c r="AM45" s="118">
        <f t="shared" si="51"/>
        <v>9633.454271999999</v>
      </c>
      <c r="AN45" s="118">
        <f t="shared" ref="AN45:AW45" si="57">+AM45</f>
        <v>9633.454271999999</v>
      </c>
      <c r="AO45" s="118">
        <f t="shared" si="57"/>
        <v>9633.454271999999</v>
      </c>
      <c r="AP45" s="118">
        <f t="shared" si="57"/>
        <v>9633.454271999999</v>
      </c>
      <c r="AQ45" s="118">
        <f t="shared" si="57"/>
        <v>9633.454271999999</v>
      </c>
      <c r="AR45" s="198">
        <f t="shared" si="57"/>
        <v>9633.454271999999</v>
      </c>
      <c r="AS45" s="118">
        <f t="shared" si="57"/>
        <v>9633.454271999999</v>
      </c>
      <c r="AT45" s="118">
        <f t="shared" si="57"/>
        <v>9633.454271999999</v>
      </c>
      <c r="AU45" s="118">
        <f t="shared" si="57"/>
        <v>9633.454271999999</v>
      </c>
      <c r="AV45" s="118">
        <f t="shared" si="57"/>
        <v>9633.454271999999</v>
      </c>
      <c r="AW45" s="118">
        <f t="shared" si="57"/>
        <v>9633.454271999999</v>
      </c>
      <c r="AX45" s="118">
        <f t="shared" si="56"/>
        <v>10018.79244288</v>
      </c>
      <c r="AY45" s="118">
        <f t="shared" si="53"/>
        <v>10018.79244288</v>
      </c>
      <c r="AZ45" s="118">
        <f t="shared" si="56"/>
        <v>10419.544140595201</v>
      </c>
      <c r="BA45" s="118">
        <f t="shared" si="56"/>
        <v>10836.325906219008</v>
      </c>
      <c r="BB45" s="118">
        <f t="shared" si="56"/>
        <v>11269.778942467769</v>
      </c>
      <c r="BC45" s="199">
        <f t="shared" si="56"/>
        <v>11720.57010016648</v>
      </c>
      <c r="BD45" s="180"/>
    </row>
    <row r="46" spans="1:56" x14ac:dyDescent="0.3">
      <c r="A46" s="181" t="s">
        <v>81</v>
      </c>
      <c r="B46" s="217"/>
      <c r="C46" s="114"/>
      <c r="D46" s="27"/>
      <c r="E46" s="27"/>
      <c r="F46" s="29"/>
      <c r="G46" s="221"/>
      <c r="H46" s="29"/>
      <c r="I46" s="29"/>
      <c r="J46" s="29"/>
      <c r="K46" s="29"/>
      <c r="L46" s="29"/>
      <c r="M46" s="29"/>
      <c r="N46" s="149">
        <v>178020</v>
      </c>
      <c r="O46" s="149">
        <v>178020</v>
      </c>
      <c r="P46" s="149">
        <v>178020</v>
      </c>
      <c r="Q46" s="149">
        <v>178020</v>
      </c>
      <c r="R46" s="149">
        <v>178020</v>
      </c>
      <c r="S46" s="149">
        <v>178020</v>
      </c>
      <c r="T46" s="200">
        <v>178020</v>
      </c>
      <c r="U46" s="149">
        <v>178020</v>
      </c>
      <c r="V46" s="149">
        <v>178020</v>
      </c>
      <c r="W46" s="149">
        <v>178020</v>
      </c>
      <c r="X46" s="149">
        <v>178020</v>
      </c>
      <c r="Y46" s="149">
        <v>178020</v>
      </c>
      <c r="Z46" s="118">
        <f t="shared" si="54"/>
        <v>185140.80000000002</v>
      </c>
      <c r="AA46" s="118">
        <f t="shared" si="48"/>
        <v>185140.80000000002</v>
      </c>
      <c r="AB46" s="118">
        <f t="shared" ref="AB46:AK46" si="58">+AA46</f>
        <v>185140.80000000002</v>
      </c>
      <c r="AC46" s="118">
        <f t="shared" si="58"/>
        <v>185140.80000000002</v>
      </c>
      <c r="AD46" s="118">
        <f t="shared" si="58"/>
        <v>185140.80000000002</v>
      </c>
      <c r="AE46" s="199">
        <f t="shared" si="58"/>
        <v>185140.80000000002</v>
      </c>
      <c r="AF46" s="118">
        <f t="shared" si="58"/>
        <v>185140.80000000002</v>
      </c>
      <c r="AG46" s="118">
        <f t="shared" si="58"/>
        <v>185140.80000000002</v>
      </c>
      <c r="AH46" s="118">
        <f t="shared" si="58"/>
        <v>185140.80000000002</v>
      </c>
      <c r="AI46" s="118">
        <f t="shared" si="58"/>
        <v>185140.80000000002</v>
      </c>
      <c r="AJ46" s="118">
        <f t="shared" si="58"/>
        <v>185140.80000000002</v>
      </c>
      <c r="AK46" s="118">
        <f t="shared" si="58"/>
        <v>185140.80000000002</v>
      </c>
      <c r="AL46" s="118">
        <f t="shared" ref="AL46:BC46" si="59">+AK46*(1+$Z$31)</f>
        <v>192546.43200000003</v>
      </c>
      <c r="AM46" s="118">
        <f t="shared" si="51"/>
        <v>192546.43200000003</v>
      </c>
      <c r="AN46" s="118">
        <f t="shared" ref="AN46:AW46" si="60">+AM46</f>
        <v>192546.43200000003</v>
      </c>
      <c r="AO46" s="118">
        <f t="shared" si="60"/>
        <v>192546.43200000003</v>
      </c>
      <c r="AP46" s="118">
        <f t="shared" si="60"/>
        <v>192546.43200000003</v>
      </c>
      <c r="AQ46" s="118">
        <f t="shared" si="60"/>
        <v>192546.43200000003</v>
      </c>
      <c r="AR46" s="198">
        <f t="shared" si="60"/>
        <v>192546.43200000003</v>
      </c>
      <c r="AS46" s="118">
        <f t="shared" si="60"/>
        <v>192546.43200000003</v>
      </c>
      <c r="AT46" s="118">
        <f t="shared" si="60"/>
        <v>192546.43200000003</v>
      </c>
      <c r="AU46" s="118">
        <f t="shared" si="60"/>
        <v>192546.43200000003</v>
      </c>
      <c r="AV46" s="118">
        <f t="shared" si="60"/>
        <v>192546.43200000003</v>
      </c>
      <c r="AW46" s="118">
        <f t="shared" si="60"/>
        <v>192546.43200000003</v>
      </c>
      <c r="AX46" s="118">
        <f t="shared" si="59"/>
        <v>200248.28928000003</v>
      </c>
      <c r="AY46" s="118">
        <f t="shared" si="53"/>
        <v>200248.28928000003</v>
      </c>
      <c r="AZ46" s="118">
        <f t="shared" si="59"/>
        <v>208258.22085120002</v>
      </c>
      <c r="BA46" s="118">
        <f t="shared" si="59"/>
        <v>216588.54968524803</v>
      </c>
      <c r="BB46" s="118">
        <f t="shared" si="59"/>
        <v>225252.09167265796</v>
      </c>
      <c r="BC46" s="199">
        <f t="shared" si="59"/>
        <v>234262.17533956427</v>
      </c>
      <c r="BD46" s="180"/>
    </row>
    <row r="47" spans="1:56" x14ac:dyDescent="0.3">
      <c r="A47" s="181" t="s">
        <v>82</v>
      </c>
      <c r="B47" s="217"/>
      <c r="C47" s="114"/>
      <c r="D47" s="27"/>
      <c r="E47" s="27"/>
      <c r="F47" s="29"/>
      <c r="G47" s="221"/>
      <c r="H47" s="29"/>
      <c r="I47" s="29"/>
      <c r="J47" s="29"/>
      <c r="K47" s="29"/>
      <c r="L47" s="29"/>
      <c r="M47" s="29"/>
      <c r="N47" s="149">
        <v>23906.67</v>
      </c>
      <c r="O47" s="149">
        <v>23906.67</v>
      </c>
      <c r="P47" s="149">
        <v>23906.67</v>
      </c>
      <c r="Q47" s="149">
        <v>23906.67</v>
      </c>
      <c r="R47" s="149">
        <v>23906.67</v>
      </c>
      <c r="S47" s="149">
        <v>23906.67</v>
      </c>
      <c r="T47" s="200">
        <v>23906.67</v>
      </c>
      <c r="U47" s="149">
        <v>23906.67</v>
      </c>
      <c r="V47" s="149">
        <v>23906.67</v>
      </c>
      <c r="W47" s="149">
        <v>23906.67</v>
      </c>
      <c r="X47" s="149">
        <v>23906.67</v>
      </c>
      <c r="Y47" s="149">
        <v>23906.67</v>
      </c>
      <c r="Z47" s="118">
        <f t="shared" si="54"/>
        <v>24862.936799999999</v>
      </c>
      <c r="AA47" s="118">
        <f t="shared" si="48"/>
        <v>24862.936799999999</v>
      </c>
      <c r="AB47" s="118">
        <f t="shared" ref="AB47:AK47" si="61">+AA47</f>
        <v>24862.936799999999</v>
      </c>
      <c r="AC47" s="118">
        <f t="shared" si="61"/>
        <v>24862.936799999999</v>
      </c>
      <c r="AD47" s="118">
        <f t="shared" si="61"/>
        <v>24862.936799999999</v>
      </c>
      <c r="AE47" s="199">
        <f t="shared" si="61"/>
        <v>24862.936799999999</v>
      </c>
      <c r="AF47" s="118">
        <f t="shared" si="61"/>
        <v>24862.936799999999</v>
      </c>
      <c r="AG47" s="118">
        <f t="shared" si="61"/>
        <v>24862.936799999999</v>
      </c>
      <c r="AH47" s="118">
        <f t="shared" si="61"/>
        <v>24862.936799999999</v>
      </c>
      <c r="AI47" s="118">
        <f t="shared" si="61"/>
        <v>24862.936799999999</v>
      </c>
      <c r="AJ47" s="118">
        <f t="shared" si="61"/>
        <v>24862.936799999999</v>
      </c>
      <c r="AK47" s="118">
        <f t="shared" si="61"/>
        <v>24862.936799999999</v>
      </c>
      <c r="AL47" s="118">
        <f t="shared" ref="AL47:BC47" si="62">+AK47*(1+$Z$31)</f>
        <v>25857.454271999999</v>
      </c>
      <c r="AM47" s="118">
        <f t="shared" si="51"/>
        <v>25857.454271999999</v>
      </c>
      <c r="AN47" s="118">
        <f t="shared" ref="AN47:AW47" si="63">+AM47</f>
        <v>25857.454271999999</v>
      </c>
      <c r="AO47" s="118">
        <f t="shared" si="63"/>
        <v>25857.454271999999</v>
      </c>
      <c r="AP47" s="118">
        <f t="shared" si="63"/>
        <v>25857.454271999999</v>
      </c>
      <c r="AQ47" s="118">
        <f t="shared" si="63"/>
        <v>25857.454271999999</v>
      </c>
      <c r="AR47" s="198">
        <f t="shared" si="63"/>
        <v>25857.454271999999</v>
      </c>
      <c r="AS47" s="118">
        <f t="shared" si="63"/>
        <v>25857.454271999999</v>
      </c>
      <c r="AT47" s="118">
        <f t="shared" si="63"/>
        <v>25857.454271999999</v>
      </c>
      <c r="AU47" s="118">
        <f t="shared" si="63"/>
        <v>25857.454271999999</v>
      </c>
      <c r="AV47" s="118">
        <f t="shared" si="63"/>
        <v>25857.454271999999</v>
      </c>
      <c r="AW47" s="118">
        <f t="shared" si="63"/>
        <v>25857.454271999999</v>
      </c>
      <c r="AX47" s="118">
        <f t="shared" si="62"/>
        <v>26891.752442879999</v>
      </c>
      <c r="AY47" s="118">
        <f t="shared" si="53"/>
        <v>26891.752442879999</v>
      </c>
      <c r="AZ47" s="118">
        <f t="shared" si="62"/>
        <v>27967.422540595198</v>
      </c>
      <c r="BA47" s="118">
        <f t="shared" si="62"/>
        <v>29086.119442219006</v>
      </c>
      <c r="BB47" s="118">
        <f t="shared" si="62"/>
        <v>30249.564219907767</v>
      </c>
      <c r="BC47" s="199">
        <f t="shared" si="62"/>
        <v>31459.54678870408</v>
      </c>
      <c r="BD47" s="180"/>
    </row>
    <row r="48" spans="1:56" x14ac:dyDescent="0.3">
      <c r="A48" s="181" t="s">
        <v>83</v>
      </c>
      <c r="B48" s="217"/>
      <c r="C48" s="114"/>
      <c r="D48" s="27"/>
      <c r="E48" s="27"/>
      <c r="F48" s="29"/>
      <c r="G48" s="221"/>
      <c r="H48" s="29"/>
      <c r="I48" s="29"/>
      <c r="J48" s="29"/>
      <c r="K48" s="29"/>
      <c r="L48" s="29"/>
      <c r="M48" s="29"/>
      <c r="N48" s="149">
        <v>21892.75</v>
      </c>
      <c r="O48" s="149">
        <v>21892.75</v>
      </c>
      <c r="P48" s="149">
        <v>21892.75</v>
      </c>
      <c r="Q48" s="149">
        <v>21892.75</v>
      </c>
      <c r="R48" s="149">
        <v>21892.75</v>
      </c>
      <c r="S48" s="149">
        <v>21892.75</v>
      </c>
      <c r="T48" s="200">
        <v>21892.75</v>
      </c>
      <c r="U48" s="149">
        <v>21892.75</v>
      </c>
      <c r="V48" s="149">
        <v>21892.75</v>
      </c>
      <c r="W48" s="149">
        <v>21892.75</v>
      </c>
      <c r="X48" s="149">
        <v>21892.75</v>
      </c>
      <c r="Y48" s="149">
        <v>21892.75</v>
      </c>
      <c r="Z48" s="118">
        <f t="shared" si="54"/>
        <v>22768.46</v>
      </c>
      <c r="AA48" s="118">
        <f t="shared" si="48"/>
        <v>22768.46</v>
      </c>
      <c r="AB48" s="118">
        <f t="shared" ref="AB48:AK48" si="64">+AA48</f>
        <v>22768.46</v>
      </c>
      <c r="AC48" s="118">
        <f t="shared" si="64"/>
        <v>22768.46</v>
      </c>
      <c r="AD48" s="118">
        <f t="shared" si="64"/>
        <v>22768.46</v>
      </c>
      <c r="AE48" s="199">
        <f t="shared" si="64"/>
        <v>22768.46</v>
      </c>
      <c r="AF48" s="118">
        <f t="shared" si="64"/>
        <v>22768.46</v>
      </c>
      <c r="AG48" s="118">
        <f t="shared" si="64"/>
        <v>22768.46</v>
      </c>
      <c r="AH48" s="118">
        <f t="shared" si="64"/>
        <v>22768.46</v>
      </c>
      <c r="AI48" s="118">
        <f t="shared" si="64"/>
        <v>22768.46</v>
      </c>
      <c r="AJ48" s="118">
        <f t="shared" si="64"/>
        <v>22768.46</v>
      </c>
      <c r="AK48" s="118">
        <f t="shared" si="64"/>
        <v>22768.46</v>
      </c>
      <c r="AL48" s="118">
        <f t="shared" ref="AL48:BC48" si="65">+AK48*(1+$Z$31)</f>
        <v>23679.198400000001</v>
      </c>
      <c r="AM48" s="118">
        <f t="shared" si="51"/>
        <v>23679.198400000001</v>
      </c>
      <c r="AN48" s="118">
        <f t="shared" ref="AN48:AW48" si="66">+AM48</f>
        <v>23679.198400000001</v>
      </c>
      <c r="AO48" s="118">
        <f t="shared" si="66"/>
        <v>23679.198400000001</v>
      </c>
      <c r="AP48" s="118">
        <f t="shared" si="66"/>
        <v>23679.198400000001</v>
      </c>
      <c r="AQ48" s="118">
        <f t="shared" si="66"/>
        <v>23679.198400000001</v>
      </c>
      <c r="AR48" s="198">
        <f t="shared" si="66"/>
        <v>23679.198400000001</v>
      </c>
      <c r="AS48" s="118">
        <f t="shared" si="66"/>
        <v>23679.198400000001</v>
      </c>
      <c r="AT48" s="118">
        <f t="shared" si="66"/>
        <v>23679.198400000001</v>
      </c>
      <c r="AU48" s="118">
        <f t="shared" si="66"/>
        <v>23679.198400000001</v>
      </c>
      <c r="AV48" s="118">
        <f t="shared" si="66"/>
        <v>23679.198400000001</v>
      </c>
      <c r="AW48" s="118">
        <f t="shared" si="66"/>
        <v>23679.198400000001</v>
      </c>
      <c r="AX48" s="118">
        <f t="shared" si="65"/>
        <v>24626.366336000003</v>
      </c>
      <c r="AY48" s="118">
        <f t="shared" si="53"/>
        <v>24626.366336000003</v>
      </c>
      <c r="AZ48" s="118">
        <f t="shared" si="65"/>
        <v>25611.420989440005</v>
      </c>
      <c r="BA48" s="118">
        <f t="shared" si="65"/>
        <v>26635.877829017605</v>
      </c>
      <c r="BB48" s="118">
        <f t="shared" si="65"/>
        <v>27701.312942178309</v>
      </c>
      <c r="BC48" s="199">
        <f t="shared" si="65"/>
        <v>28809.365459865443</v>
      </c>
      <c r="BD48" s="180"/>
    </row>
    <row r="49" spans="1:56" x14ac:dyDescent="0.3">
      <c r="A49" s="181" t="s">
        <v>84</v>
      </c>
      <c r="B49" s="217"/>
      <c r="C49" s="114"/>
      <c r="D49" s="27"/>
      <c r="E49" s="27"/>
      <c r="F49" s="29"/>
      <c r="G49" s="221"/>
      <c r="H49" s="29"/>
      <c r="I49" s="29"/>
      <c r="J49" s="29"/>
      <c r="K49" s="29"/>
      <c r="L49" s="29"/>
      <c r="M49" s="29"/>
      <c r="N49" s="149">
        <v>61358.22</v>
      </c>
      <c r="O49" s="149">
        <v>61358.22</v>
      </c>
      <c r="P49" s="149">
        <v>61358.22</v>
      </c>
      <c r="Q49" s="149">
        <v>61358.22</v>
      </c>
      <c r="R49" s="149">
        <v>61358.22</v>
      </c>
      <c r="S49" s="149">
        <v>61358.22</v>
      </c>
      <c r="T49" s="200">
        <v>61358.22</v>
      </c>
      <c r="U49" s="149">
        <v>61358.22</v>
      </c>
      <c r="V49" s="149">
        <v>61358.22</v>
      </c>
      <c r="W49" s="149">
        <v>61358.22</v>
      </c>
      <c r="X49" s="149">
        <v>61358.22</v>
      </c>
      <c r="Y49" s="149">
        <v>61358.22</v>
      </c>
      <c r="Z49" s="118">
        <f t="shared" si="54"/>
        <v>63812.548800000004</v>
      </c>
      <c r="AA49" s="118">
        <f t="shared" si="48"/>
        <v>63812.548800000004</v>
      </c>
      <c r="AB49" s="118">
        <f t="shared" ref="AB49:AK49" si="67">+AA49</f>
        <v>63812.548800000004</v>
      </c>
      <c r="AC49" s="118">
        <f t="shared" si="67"/>
        <v>63812.548800000004</v>
      </c>
      <c r="AD49" s="118">
        <f t="shared" si="67"/>
        <v>63812.548800000004</v>
      </c>
      <c r="AE49" s="199">
        <f t="shared" si="67"/>
        <v>63812.548800000004</v>
      </c>
      <c r="AF49" s="118">
        <f t="shared" si="67"/>
        <v>63812.548800000004</v>
      </c>
      <c r="AG49" s="118">
        <f t="shared" si="67"/>
        <v>63812.548800000004</v>
      </c>
      <c r="AH49" s="118">
        <f t="shared" si="67"/>
        <v>63812.548800000004</v>
      </c>
      <c r="AI49" s="118">
        <f t="shared" si="67"/>
        <v>63812.548800000004</v>
      </c>
      <c r="AJ49" s="118">
        <f t="shared" si="67"/>
        <v>63812.548800000004</v>
      </c>
      <c r="AK49" s="118">
        <f t="shared" si="67"/>
        <v>63812.548800000004</v>
      </c>
      <c r="AL49" s="118">
        <f t="shared" ref="AL49:BC49" si="68">+AK49*(1+$Z$31)</f>
        <v>66365.05075200001</v>
      </c>
      <c r="AM49" s="118">
        <f t="shared" si="51"/>
        <v>66365.05075200001</v>
      </c>
      <c r="AN49" s="118">
        <f t="shared" ref="AN49:AW49" si="69">+AM49</f>
        <v>66365.05075200001</v>
      </c>
      <c r="AO49" s="118">
        <f t="shared" si="69"/>
        <v>66365.05075200001</v>
      </c>
      <c r="AP49" s="118">
        <f t="shared" si="69"/>
        <v>66365.05075200001</v>
      </c>
      <c r="AQ49" s="118">
        <f t="shared" si="69"/>
        <v>66365.05075200001</v>
      </c>
      <c r="AR49" s="198">
        <f t="shared" si="69"/>
        <v>66365.05075200001</v>
      </c>
      <c r="AS49" s="118">
        <f t="shared" si="69"/>
        <v>66365.05075200001</v>
      </c>
      <c r="AT49" s="118">
        <f t="shared" si="69"/>
        <v>66365.05075200001</v>
      </c>
      <c r="AU49" s="118">
        <f t="shared" si="69"/>
        <v>66365.05075200001</v>
      </c>
      <c r="AV49" s="118">
        <f t="shared" si="69"/>
        <v>66365.05075200001</v>
      </c>
      <c r="AW49" s="118">
        <f t="shared" si="69"/>
        <v>66365.05075200001</v>
      </c>
      <c r="AX49" s="118">
        <f t="shared" si="68"/>
        <v>69019.652782080011</v>
      </c>
      <c r="AY49" s="118">
        <f t="shared" si="53"/>
        <v>69019.652782080011</v>
      </c>
      <c r="AZ49" s="118">
        <f t="shared" si="68"/>
        <v>71780.438893363214</v>
      </c>
      <c r="BA49" s="118">
        <f t="shared" si="68"/>
        <v>74651.656449097747</v>
      </c>
      <c r="BB49" s="118">
        <f t="shared" si="68"/>
        <v>77637.722707061665</v>
      </c>
      <c r="BC49" s="199">
        <f t="shared" si="68"/>
        <v>80743.231615344135</v>
      </c>
      <c r="BD49" s="180"/>
    </row>
    <row r="50" spans="1:56" x14ac:dyDescent="0.3">
      <c r="A50" s="181" t="s">
        <v>85</v>
      </c>
      <c r="B50" s="217"/>
      <c r="C50" s="114"/>
      <c r="D50" s="27"/>
      <c r="E50" s="27"/>
      <c r="F50" s="29"/>
      <c r="G50" s="221"/>
      <c r="H50" s="29"/>
      <c r="I50" s="29"/>
      <c r="J50" s="29"/>
      <c r="K50" s="29"/>
      <c r="L50" s="29"/>
      <c r="M50" s="29"/>
      <c r="N50" s="149">
        <f>+N41*0.05</f>
        <v>71738.375</v>
      </c>
      <c r="O50" s="149">
        <f t="shared" ref="O50:Z50" si="70">+O41*0.05</f>
        <v>74831.424477272725</v>
      </c>
      <c r="P50" s="149">
        <f t="shared" si="70"/>
        <v>77924.47395454545</v>
      </c>
      <c r="Q50" s="149">
        <f t="shared" si="70"/>
        <v>81017.523431818176</v>
      </c>
      <c r="R50" s="149">
        <f t="shared" si="70"/>
        <v>84110.572909090901</v>
      </c>
      <c r="S50" s="149">
        <f t="shared" si="70"/>
        <v>87203.622386363641</v>
      </c>
      <c r="T50" s="200">
        <f t="shared" si="70"/>
        <v>90296.671863636366</v>
      </c>
      <c r="U50" s="149">
        <f t="shared" si="70"/>
        <v>93389.721340909091</v>
      </c>
      <c r="V50" s="149">
        <f t="shared" si="70"/>
        <v>96482.770818181816</v>
      </c>
      <c r="W50" s="149">
        <f t="shared" si="70"/>
        <v>99575.820295454541</v>
      </c>
      <c r="X50" s="149">
        <f t="shared" si="70"/>
        <v>102668.86977272728</v>
      </c>
      <c r="Y50" s="149">
        <f t="shared" si="70"/>
        <v>105761.91924999999</v>
      </c>
      <c r="Z50" s="149">
        <f t="shared" si="70"/>
        <v>109992.39602000001</v>
      </c>
      <c r="AA50" s="149">
        <f t="shared" ref="AA50" si="71">+AA41*0.05</f>
        <v>109992.39602000001</v>
      </c>
      <c r="AB50" s="149">
        <f t="shared" ref="AB50:AK50" si="72">+AB41*0.05</f>
        <v>109992.39602000001</v>
      </c>
      <c r="AC50" s="149">
        <f t="shared" si="72"/>
        <v>109992.39602000001</v>
      </c>
      <c r="AD50" s="149">
        <f t="shared" si="72"/>
        <v>109992.39602000001</v>
      </c>
      <c r="AE50" s="201">
        <f t="shared" si="72"/>
        <v>109992.39602000001</v>
      </c>
      <c r="AF50" s="149">
        <f t="shared" si="72"/>
        <v>109992.39602000001</v>
      </c>
      <c r="AG50" s="149">
        <f t="shared" si="72"/>
        <v>109992.39602000001</v>
      </c>
      <c r="AH50" s="149">
        <f t="shared" si="72"/>
        <v>109992.39602000001</v>
      </c>
      <c r="AI50" s="149">
        <f t="shared" si="72"/>
        <v>109992.39602000001</v>
      </c>
      <c r="AJ50" s="149">
        <f t="shared" si="72"/>
        <v>109992.39602000001</v>
      </c>
      <c r="AK50" s="149">
        <f t="shared" si="72"/>
        <v>109992.39602000001</v>
      </c>
      <c r="AL50" s="149">
        <f t="shared" ref="AL50:BC50" si="73">+AL41*0.05</f>
        <v>114392.09186080001</v>
      </c>
      <c r="AM50" s="149">
        <f t="shared" si="73"/>
        <v>114392.09186080001</v>
      </c>
      <c r="AN50" s="149">
        <f t="shared" ref="AN50:AW50" si="74">+AN41*0.05</f>
        <v>114392.09186080001</v>
      </c>
      <c r="AO50" s="149">
        <f t="shared" si="74"/>
        <v>114392.09186080001</v>
      </c>
      <c r="AP50" s="149">
        <f t="shared" si="74"/>
        <v>114392.09186080001</v>
      </c>
      <c r="AQ50" s="149">
        <f t="shared" si="74"/>
        <v>114392.09186080001</v>
      </c>
      <c r="AR50" s="200">
        <f t="shared" si="74"/>
        <v>114392.09186080001</v>
      </c>
      <c r="AS50" s="149">
        <f t="shared" si="74"/>
        <v>114392.09186080001</v>
      </c>
      <c r="AT50" s="149">
        <f t="shared" si="74"/>
        <v>114392.09186080001</v>
      </c>
      <c r="AU50" s="149">
        <f t="shared" si="74"/>
        <v>114392.09186080001</v>
      </c>
      <c r="AV50" s="149">
        <f t="shared" si="74"/>
        <v>114392.09186080001</v>
      </c>
      <c r="AW50" s="149">
        <f t="shared" si="74"/>
        <v>114392.09186080001</v>
      </c>
      <c r="AX50" s="149">
        <f t="shared" si="73"/>
        <v>118967.77553523202</v>
      </c>
      <c r="AY50" s="149">
        <f t="shared" si="73"/>
        <v>118967.77553523202</v>
      </c>
      <c r="AZ50" s="149">
        <f t="shared" si="73"/>
        <v>118967.77553523202</v>
      </c>
      <c r="BA50" s="149">
        <f t="shared" si="73"/>
        <v>118967.77553523202</v>
      </c>
      <c r="BB50" s="149">
        <f t="shared" si="73"/>
        <v>118967.77553523202</v>
      </c>
      <c r="BC50" s="201">
        <f t="shared" si="73"/>
        <v>118967.77553523202</v>
      </c>
      <c r="BD50" s="180"/>
    </row>
    <row r="51" spans="1:56" s="119" customFormat="1" x14ac:dyDescent="0.3">
      <c r="A51" s="184" t="s">
        <v>86</v>
      </c>
      <c r="B51" s="219"/>
      <c r="C51" s="150"/>
      <c r="D51" s="44"/>
      <c r="E51" s="44"/>
      <c r="F51" s="153"/>
      <c r="G51" s="222"/>
      <c r="H51" s="153"/>
      <c r="I51" s="153"/>
      <c r="J51" s="153"/>
      <c r="K51" s="153"/>
      <c r="L51" s="153"/>
      <c r="M51" s="153"/>
      <c r="N51" s="152">
        <f>SUM(N44:N50)</f>
        <v>513824.05500000005</v>
      </c>
      <c r="O51" s="152">
        <f t="shared" ref="O51:Z51" si="75">SUM(O44:O50)</f>
        <v>516917.10447727278</v>
      </c>
      <c r="P51" s="152">
        <f t="shared" si="75"/>
        <v>520010.1539545455</v>
      </c>
      <c r="Q51" s="152">
        <f t="shared" si="75"/>
        <v>523103.20343181823</v>
      </c>
      <c r="R51" s="152">
        <f t="shared" si="75"/>
        <v>526196.25290909095</v>
      </c>
      <c r="S51" s="152">
        <f t="shared" si="75"/>
        <v>529289.30238636374</v>
      </c>
      <c r="T51" s="196">
        <f t="shared" si="75"/>
        <v>532382.3518636364</v>
      </c>
      <c r="U51" s="152">
        <f t="shared" si="75"/>
        <v>535475.40134090919</v>
      </c>
      <c r="V51" s="152">
        <f t="shared" si="75"/>
        <v>538568.45081818185</v>
      </c>
      <c r="W51" s="152">
        <f t="shared" si="75"/>
        <v>541661.50029545464</v>
      </c>
      <c r="X51" s="152">
        <f t="shared" si="75"/>
        <v>544754.5497727273</v>
      </c>
      <c r="Y51" s="152">
        <f t="shared" si="75"/>
        <v>547847.59925000009</v>
      </c>
      <c r="Z51" s="152">
        <f t="shared" si="75"/>
        <v>569761.50322000007</v>
      </c>
      <c r="AA51" s="152">
        <f t="shared" ref="AA51" si="76">SUM(AA44:AA50)</f>
        <v>569761.50322000007</v>
      </c>
      <c r="AB51" s="152">
        <f t="shared" ref="AB51" si="77">SUM(AB44:AB50)</f>
        <v>569761.50322000007</v>
      </c>
      <c r="AC51" s="152">
        <f t="shared" ref="AC51" si="78">SUM(AC44:AC50)</f>
        <v>569761.50322000007</v>
      </c>
      <c r="AD51" s="152">
        <f t="shared" ref="AD51" si="79">SUM(AD44:AD50)</f>
        <v>569761.50322000007</v>
      </c>
      <c r="AE51" s="197">
        <f t="shared" ref="AE51" si="80">SUM(AE44:AE50)</f>
        <v>569761.50322000007</v>
      </c>
      <c r="AF51" s="152">
        <f t="shared" ref="AF51" si="81">SUM(AF44:AF50)</f>
        <v>569761.50322000007</v>
      </c>
      <c r="AG51" s="152">
        <f t="shared" ref="AG51" si="82">SUM(AG44:AG50)</f>
        <v>569761.50322000007</v>
      </c>
      <c r="AH51" s="152">
        <f t="shared" ref="AH51" si="83">SUM(AH44:AH50)</f>
        <v>569761.50322000007</v>
      </c>
      <c r="AI51" s="152">
        <f t="shared" ref="AI51" si="84">SUM(AI44:AI50)</f>
        <v>569761.50322000007</v>
      </c>
      <c r="AJ51" s="152">
        <f t="shared" ref="AJ51" si="85">SUM(AJ44:AJ50)</f>
        <v>569761.50322000007</v>
      </c>
      <c r="AK51" s="152">
        <f t="shared" ref="AK51" si="86">SUM(AK44:AK50)</f>
        <v>569761.50322000007</v>
      </c>
      <c r="AL51" s="152">
        <f t="shared" ref="AL51" si="87">SUM(AL44:AL50)</f>
        <v>592551.96334880008</v>
      </c>
      <c r="AM51" s="152">
        <f t="shared" ref="AM51" si="88">SUM(AM44:AM50)</f>
        <v>592551.96334880008</v>
      </c>
      <c r="AN51" s="152">
        <f t="shared" ref="AN51" si="89">SUM(AN44:AN50)</f>
        <v>592551.96334880008</v>
      </c>
      <c r="AO51" s="152">
        <f t="shared" ref="AO51" si="90">SUM(AO44:AO50)</f>
        <v>592551.96334880008</v>
      </c>
      <c r="AP51" s="152">
        <f t="shared" ref="AP51" si="91">SUM(AP44:AP50)</f>
        <v>592551.96334880008</v>
      </c>
      <c r="AQ51" s="152">
        <f t="shared" ref="AQ51" si="92">SUM(AQ44:AQ50)</f>
        <v>592551.96334880008</v>
      </c>
      <c r="AR51" s="196">
        <f t="shared" ref="AR51" si="93">SUM(AR44:AR50)</f>
        <v>592551.96334880008</v>
      </c>
      <c r="AS51" s="152">
        <f t="shared" ref="AS51" si="94">SUM(AS44:AS50)</f>
        <v>592551.96334880008</v>
      </c>
      <c r="AT51" s="152">
        <f t="shared" ref="AT51" si="95">SUM(AT44:AT50)</f>
        <v>592551.96334880008</v>
      </c>
      <c r="AU51" s="152">
        <f t="shared" ref="AU51" si="96">SUM(AU44:AU50)</f>
        <v>592551.96334880008</v>
      </c>
      <c r="AV51" s="152">
        <f t="shared" ref="AV51" si="97">SUM(AV44:AV50)</f>
        <v>592551.96334880008</v>
      </c>
      <c r="AW51" s="152">
        <f t="shared" ref="AW51" si="98">SUM(AW44:AW50)</f>
        <v>592551.96334880008</v>
      </c>
      <c r="AX51" s="152">
        <f t="shared" ref="AX51" si="99">SUM(AX44:AX50)</f>
        <v>616254.04188275209</v>
      </c>
      <c r="AY51" s="152">
        <f t="shared" ref="AY51" si="100">SUM(AY44:AY50)</f>
        <v>616254.04188275209</v>
      </c>
      <c r="AZ51" s="152">
        <f t="shared" ref="AZ51" si="101">SUM(AZ44:AZ50)</f>
        <v>636145.49253665283</v>
      </c>
      <c r="BA51" s="152">
        <f t="shared" ref="BA51" si="102">SUM(BA44:BA50)</f>
        <v>656832.60121670982</v>
      </c>
      <c r="BB51" s="152">
        <f t="shared" ref="BB51" si="103">SUM(BB44:BB50)</f>
        <v>678347.19424396893</v>
      </c>
      <c r="BC51" s="197">
        <f t="shared" ref="BC51" si="104">SUM(BC44:BC50)</f>
        <v>700722.37099231838</v>
      </c>
      <c r="BD51" s="185"/>
    </row>
    <row r="52" spans="1:56" x14ac:dyDescent="0.3">
      <c r="A52" s="181"/>
      <c r="B52" s="217"/>
      <c r="C52" s="114"/>
      <c r="D52" s="114"/>
      <c r="E52" s="114"/>
      <c r="F52" s="24"/>
      <c r="G52" s="215"/>
      <c r="H52" s="24"/>
      <c r="I52" s="24"/>
      <c r="J52" s="24"/>
      <c r="K52" s="24"/>
      <c r="L52" s="24"/>
      <c r="M52" s="24"/>
      <c r="N52" s="148"/>
      <c r="O52" s="27"/>
      <c r="P52" s="27"/>
      <c r="Q52" s="27"/>
      <c r="R52" s="27"/>
      <c r="S52" s="27"/>
      <c r="T52" s="47"/>
      <c r="U52" s="27"/>
      <c r="V52" s="27"/>
      <c r="W52" s="27"/>
      <c r="X52" s="27"/>
      <c r="Y52" s="27"/>
      <c r="Z52" s="27"/>
      <c r="AA52" s="27"/>
      <c r="AB52" s="27"/>
      <c r="AC52" s="27"/>
      <c r="AD52" s="27"/>
      <c r="AE52" s="48"/>
      <c r="AF52" s="27"/>
      <c r="AG52" s="27"/>
      <c r="AH52" s="27"/>
      <c r="AI52" s="27"/>
      <c r="AJ52" s="27"/>
      <c r="AK52" s="27"/>
      <c r="AL52" s="27"/>
      <c r="AM52" s="27"/>
      <c r="AN52" s="27"/>
      <c r="AO52" s="27"/>
      <c r="AP52" s="27"/>
      <c r="AQ52" s="27"/>
      <c r="AR52" s="47"/>
      <c r="AS52" s="27"/>
      <c r="AT52" s="27"/>
      <c r="AU52" s="27"/>
      <c r="AV52" s="27"/>
      <c r="AW52" s="27"/>
      <c r="AX52" s="27"/>
      <c r="AY52" s="27"/>
      <c r="AZ52" s="27"/>
      <c r="BA52" s="27"/>
      <c r="BB52" s="27"/>
      <c r="BC52" s="48"/>
      <c r="BD52" s="180"/>
    </row>
    <row r="53" spans="1:56" s="119" customFormat="1" x14ac:dyDescent="0.3">
      <c r="A53" s="186" t="s">
        <v>87</v>
      </c>
      <c r="B53" s="223">
        <f t="shared" ref="B53:M53" si="105">+B41-B51</f>
        <v>0</v>
      </c>
      <c r="C53" s="151">
        <f t="shared" si="105"/>
        <v>0</v>
      </c>
      <c r="D53" s="151">
        <f t="shared" si="105"/>
        <v>0</v>
      </c>
      <c r="E53" s="151">
        <f t="shared" si="105"/>
        <v>0</v>
      </c>
      <c r="F53" s="151">
        <f t="shared" si="105"/>
        <v>0</v>
      </c>
      <c r="G53" s="220">
        <f t="shared" si="105"/>
        <v>0</v>
      </c>
      <c r="H53" s="151">
        <f t="shared" si="105"/>
        <v>0</v>
      </c>
      <c r="I53" s="151">
        <f t="shared" si="105"/>
        <v>0</v>
      </c>
      <c r="J53" s="151">
        <f t="shared" si="105"/>
        <v>0</v>
      </c>
      <c r="K53" s="151">
        <f t="shared" si="105"/>
        <v>0</v>
      </c>
      <c r="L53" s="151">
        <f t="shared" si="105"/>
        <v>0</v>
      </c>
      <c r="M53" s="151">
        <f t="shared" si="105"/>
        <v>0</v>
      </c>
      <c r="N53" s="154">
        <f>+N41-N51</f>
        <v>920943.44499999995</v>
      </c>
      <c r="O53" s="154">
        <f t="shared" ref="O53:Y53" si="106">+O41-O51</f>
        <v>979711.38506818167</v>
      </c>
      <c r="P53" s="154">
        <f t="shared" si="106"/>
        <v>1038479.3251363635</v>
      </c>
      <c r="Q53" s="154">
        <f t="shared" si="106"/>
        <v>1097247.2652045453</v>
      </c>
      <c r="R53" s="154">
        <f t="shared" si="106"/>
        <v>1156015.2052727272</v>
      </c>
      <c r="S53" s="154">
        <f t="shared" si="106"/>
        <v>1214783.145340909</v>
      </c>
      <c r="T53" s="202">
        <f t="shared" si="106"/>
        <v>1273551.0854090909</v>
      </c>
      <c r="U53" s="154">
        <f t="shared" si="106"/>
        <v>1332319.0254772725</v>
      </c>
      <c r="V53" s="154">
        <f t="shared" si="106"/>
        <v>1391086.9655454545</v>
      </c>
      <c r="W53" s="154">
        <f t="shared" si="106"/>
        <v>1449854.9056136361</v>
      </c>
      <c r="X53" s="154">
        <f t="shared" si="106"/>
        <v>1508622.8456818182</v>
      </c>
      <c r="Y53" s="154">
        <f t="shared" si="106"/>
        <v>1567390.7857499998</v>
      </c>
      <c r="Z53" s="154">
        <f t="shared" ref="Z53" si="107">+Z41-Z51</f>
        <v>1630086.4171800001</v>
      </c>
      <c r="AA53" s="154">
        <f t="shared" ref="AA53:AK53" si="108">+AA41-AA51</f>
        <v>1630086.4171800001</v>
      </c>
      <c r="AB53" s="154">
        <f t="shared" si="108"/>
        <v>1630086.4171800001</v>
      </c>
      <c r="AC53" s="154">
        <f t="shared" si="108"/>
        <v>1630086.4171800001</v>
      </c>
      <c r="AD53" s="154">
        <f t="shared" si="108"/>
        <v>1630086.4171800001</v>
      </c>
      <c r="AE53" s="203">
        <f t="shared" si="108"/>
        <v>1630086.4171800001</v>
      </c>
      <c r="AF53" s="154">
        <f t="shared" si="108"/>
        <v>1630086.4171800001</v>
      </c>
      <c r="AG53" s="154">
        <f t="shared" si="108"/>
        <v>1630086.4171800001</v>
      </c>
      <c r="AH53" s="154">
        <f t="shared" si="108"/>
        <v>1630086.4171800001</v>
      </c>
      <c r="AI53" s="154">
        <f t="shared" si="108"/>
        <v>1630086.4171800001</v>
      </c>
      <c r="AJ53" s="154">
        <f t="shared" si="108"/>
        <v>1630086.4171800001</v>
      </c>
      <c r="AK53" s="154">
        <f t="shared" si="108"/>
        <v>1630086.4171800001</v>
      </c>
      <c r="AL53" s="154">
        <f t="shared" ref="AL53:BC53" si="109">+AL41-AL51</f>
        <v>1695289.8738672</v>
      </c>
      <c r="AM53" s="154">
        <f t="shared" si="109"/>
        <v>1695289.8738672</v>
      </c>
      <c r="AN53" s="154">
        <f t="shared" si="109"/>
        <v>1695289.8738672</v>
      </c>
      <c r="AO53" s="154">
        <f t="shared" si="109"/>
        <v>1695289.8738672</v>
      </c>
      <c r="AP53" s="154">
        <f t="shared" si="109"/>
        <v>1695289.8738672</v>
      </c>
      <c r="AQ53" s="154">
        <f t="shared" si="109"/>
        <v>1695289.8738672</v>
      </c>
      <c r="AR53" s="202">
        <f t="shared" si="109"/>
        <v>1695289.8738672</v>
      </c>
      <c r="AS53" s="154">
        <f t="shared" si="109"/>
        <v>1695289.8738672</v>
      </c>
      <c r="AT53" s="154">
        <f t="shared" si="109"/>
        <v>1695289.8738672</v>
      </c>
      <c r="AU53" s="154">
        <f t="shared" si="109"/>
        <v>1695289.8738672</v>
      </c>
      <c r="AV53" s="154">
        <f t="shared" si="109"/>
        <v>1695289.8738672</v>
      </c>
      <c r="AW53" s="154">
        <f t="shared" si="109"/>
        <v>1695289.8738672</v>
      </c>
      <c r="AX53" s="154">
        <f t="shared" si="109"/>
        <v>1763101.4688218883</v>
      </c>
      <c r="AY53" s="154">
        <f t="shared" si="109"/>
        <v>1763101.4688218883</v>
      </c>
      <c r="AZ53" s="154">
        <f t="shared" si="109"/>
        <v>1743210.0181679875</v>
      </c>
      <c r="BA53" s="154">
        <f t="shared" si="109"/>
        <v>1722522.9094879306</v>
      </c>
      <c r="BB53" s="154">
        <f t="shared" si="109"/>
        <v>1701008.3164606714</v>
      </c>
      <c r="BC53" s="203">
        <f t="shared" si="109"/>
        <v>1678633.139712322</v>
      </c>
      <c r="BD53" s="185"/>
    </row>
    <row r="54" spans="1:56" s="119" customFormat="1" ht="15" thickBot="1" x14ac:dyDescent="0.35">
      <c r="A54" s="191" t="s">
        <v>134</v>
      </c>
      <c r="B54" s="204">
        <f t="shared" ref="B54:M54" si="110">+B53*$B$4</f>
        <v>0</v>
      </c>
      <c r="C54" s="192">
        <f t="shared" si="110"/>
        <v>0</v>
      </c>
      <c r="D54" s="192">
        <f t="shared" si="110"/>
        <v>0</v>
      </c>
      <c r="E54" s="192">
        <f t="shared" si="110"/>
        <v>0</v>
      </c>
      <c r="F54" s="192">
        <f t="shared" si="110"/>
        <v>0</v>
      </c>
      <c r="G54" s="205">
        <f t="shared" si="110"/>
        <v>0</v>
      </c>
      <c r="H54" s="192">
        <f t="shared" si="110"/>
        <v>0</v>
      </c>
      <c r="I54" s="192">
        <f t="shared" si="110"/>
        <v>0</v>
      </c>
      <c r="J54" s="192">
        <f t="shared" si="110"/>
        <v>0</v>
      </c>
      <c r="K54" s="192">
        <f t="shared" si="110"/>
        <v>0</v>
      </c>
      <c r="L54" s="192">
        <f t="shared" si="110"/>
        <v>0</v>
      </c>
      <c r="M54" s="192">
        <f t="shared" si="110"/>
        <v>0</v>
      </c>
      <c r="N54" s="192">
        <f>+N53*$B$4</f>
        <v>127090.19541</v>
      </c>
      <c r="O54" s="192">
        <f t="shared" ref="O54:Y54" si="111">+O53*$B$4</f>
        <v>135200.1711394091</v>
      </c>
      <c r="P54" s="192">
        <f t="shared" si="111"/>
        <v>143310.14686881818</v>
      </c>
      <c r="Q54" s="192">
        <f t="shared" si="111"/>
        <v>151420.12259822726</v>
      </c>
      <c r="R54" s="192">
        <f t="shared" si="111"/>
        <v>159530.09832763637</v>
      </c>
      <c r="S54" s="192">
        <f t="shared" si="111"/>
        <v>167640.07405704545</v>
      </c>
      <c r="T54" s="204">
        <f t="shared" si="111"/>
        <v>175750.04978645456</v>
      </c>
      <c r="U54" s="192">
        <f t="shared" si="111"/>
        <v>183860.02551586361</v>
      </c>
      <c r="V54" s="192">
        <f t="shared" si="111"/>
        <v>191970.00124527275</v>
      </c>
      <c r="W54" s="192">
        <f t="shared" si="111"/>
        <v>200079.97697468181</v>
      </c>
      <c r="X54" s="192">
        <f t="shared" si="111"/>
        <v>208189.95270409092</v>
      </c>
      <c r="Y54" s="192">
        <f t="shared" si="111"/>
        <v>216299.9284335</v>
      </c>
      <c r="Z54" s="192">
        <f t="shared" ref="Z54" si="112">+Z53*$B$4</f>
        <v>224951.92557084005</v>
      </c>
      <c r="AA54" s="192">
        <f t="shared" ref="AA54" si="113">+AA53*$B$4</f>
        <v>224951.92557084005</v>
      </c>
      <c r="AB54" s="192">
        <f t="shared" ref="AB54" si="114">+AB53*$B$4</f>
        <v>224951.92557084005</v>
      </c>
      <c r="AC54" s="192">
        <f t="shared" ref="AC54" si="115">+AC53*$B$4</f>
        <v>224951.92557084005</v>
      </c>
      <c r="AD54" s="192">
        <f t="shared" ref="AD54" si="116">+AD53*$B$4</f>
        <v>224951.92557084005</v>
      </c>
      <c r="AE54" s="205">
        <f t="shared" ref="AE54" si="117">+AE53*$B$4</f>
        <v>224951.92557084005</v>
      </c>
      <c r="AF54" s="192">
        <f t="shared" ref="AF54" si="118">+AF53*$B$4</f>
        <v>224951.92557084005</v>
      </c>
      <c r="AG54" s="192">
        <f t="shared" ref="AG54" si="119">+AG53*$B$4</f>
        <v>224951.92557084005</v>
      </c>
      <c r="AH54" s="192">
        <f t="shared" ref="AH54" si="120">+AH53*$B$4</f>
        <v>224951.92557084005</v>
      </c>
      <c r="AI54" s="192">
        <f t="shared" ref="AI54" si="121">+AI53*$B$4</f>
        <v>224951.92557084005</v>
      </c>
      <c r="AJ54" s="192">
        <f t="shared" ref="AJ54" si="122">+AJ53*$B$4</f>
        <v>224951.92557084005</v>
      </c>
      <c r="AK54" s="192">
        <f t="shared" ref="AK54" si="123">+AK53*$B$4</f>
        <v>224951.92557084005</v>
      </c>
      <c r="AL54" s="192">
        <f t="shared" ref="AL54" si="124">+AL53*$B$4</f>
        <v>233950.00259367362</v>
      </c>
      <c r="AM54" s="192">
        <f t="shared" ref="AM54" si="125">+AM53*$B$4</f>
        <v>233950.00259367362</v>
      </c>
      <c r="AN54" s="192">
        <f t="shared" ref="AN54" si="126">+AN53*$B$4</f>
        <v>233950.00259367362</v>
      </c>
      <c r="AO54" s="192">
        <f t="shared" ref="AO54" si="127">+AO53*$B$4</f>
        <v>233950.00259367362</v>
      </c>
      <c r="AP54" s="192">
        <f t="shared" ref="AP54" si="128">+AP53*$B$4</f>
        <v>233950.00259367362</v>
      </c>
      <c r="AQ54" s="192">
        <f t="shared" ref="AQ54" si="129">+AQ53*$B$4</f>
        <v>233950.00259367362</v>
      </c>
      <c r="AR54" s="204">
        <f t="shared" ref="AR54" si="130">+AR53*$B$4</f>
        <v>233950.00259367362</v>
      </c>
      <c r="AS54" s="192">
        <f t="shared" ref="AS54" si="131">+AS53*$B$4</f>
        <v>233950.00259367362</v>
      </c>
      <c r="AT54" s="192">
        <f t="shared" ref="AT54" si="132">+AT53*$B$4</f>
        <v>233950.00259367362</v>
      </c>
      <c r="AU54" s="192">
        <f t="shared" ref="AU54" si="133">+AU53*$B$4</f>
        <v>233950.00259367362</v>
      </c>
      <c r="AV54" s="192">
        <f t="shared" ref="AV54" si="134">+AV53*$B$4</f>
        <v>233950.00259367362</v>
      </c>
      <c r="AW54" s="192">
        <f t="shared" ref="AW54" si="135">+AW53*$B$4</f>
        <v>233950.00259367362</v>
      </c>
      <c r="AX54" s="192">
        <f t="shared" ref="AX54" si="136">+AX53*$B$4</f>
        <v>243308.0026974206</v>
      </c>
      <c r="AY54" s="192">
        <f t="shared" ref="AY54" si="137">+AY53*$B$4</f>
        <v>243308.0026974206</v>
      </c>
      <c r="AZ54" s="192">
        <f t="shared" ref="AZ54" si="138">+AZ53*$B$4</f>
        <v>240562.98250718229</v>
      </c>
      <c r="BA54" s="192">
        <f t="shared" ref="BA54" si="139">+BA53*$B$4</f>
        <v>237708.16150933443</v>
      </c>
      <c r="BB54" s="192">
        <f t="shared" ref="BB54" si="140">+BB53*$B$4</f>
        <v>234739.14767157266</v>
      </c>
      <c r="BC54" s="205">
        <f t="shared" ref="BC54" si="141">+BC53*$B$4</f>
        <v>231651.37328030047</v>
      </c>
      <c r="BD54" s="193">
        <f>SUM(B54:BC54)</f>
        <v>8998441.5513983965</v>
      </c>
    </row>
    <row r="55" spans="1:56" x14ac:dyDescent="0.3">
      <c r="A55" s="181"/>
      <c r="B55" s="217"/>
      <c r="C55" s="116"/>
      <c r="D55" s="116"/>
      <c r="E55" s="116"/>
      <c r="F55" s="24"/>
      <c r="G55" s="215"/>
      <c r="H55" s="24"/>
      <c r="I55" s="24"/>
      <c r="J55" s="24"/>
      <c r="K55" s="24"/>
      <c r="L55" s="24"/>
      <c r="M55" s="24"/>
      <c r="N55" s="24"/>
      <c r="O55" s="27"/>
      <c r="P55" s="27"/>
      <c r="Q55" s="27"/>
      <c r="R55" s="27"/>
      <c r="S55" s="27"/>
      <c r="T55" s="47"/>
      <c r="U55" s="27"/>
      <c r="V55" s="27"/>
      <c r="W55" s="27"/>
      <c r="X55" s="27"/>
      <c r="Y55" s="27"/>
      <c r="Z55" s="27"/>
      <c r="AA55" s="27"/>
      <c r="AB55" s="27"/>
      <c r="AC55" s="27"/>
      <c r="AD55" s="27"/>
      <c r="AE55" s="48"/>
      <c r="AF55" s="27"/>
      <c r="AG55" s="27"/>
      <c r="AH55" s="27"/>
      <c r="AI55" s="27"/>
      <c r="AJ55" s="27"/>
      <c r="AK55" s="27"/>
      <c r="AL55" s="27"/>
      <c r="AM55" s="27"/>
      <c r="AN55" s="27"/>
      <c r="AO55" s="27"/>
      <c r="AP55" s="27"/>
      <c r="AQ55" s="27"/>
      <c r="AR55" s="47"/>
      <c r="AS55" s="27"/>
      <c r="AT55" s="27"/>
      <c r="AU55" s="27"/>
      <c r="AV55" s="27"/>
      <c r="AW55" s="27"/>
      <c r="AX55" s="27"/>
      <c r="AY55" s="27"/>
      <c r="AZ55" s="27"/>
      <c r="BA55" s="27"/>
      <c r="BB55" s="27"/>
      <c r="BC55" s="48"/>
      <c r="BD55" s="48"/>
    </row>
    <row r="56" spans="1:56" ht="15" thickBot="1" x14ac:dyDescent="0.35">
      <c r="A56" s="187" t="s">
        <v>13</v>
      </c>
      <c r="B56" s="224">
        <f>+B27</f>
        <v>10732900</v>
      </c>
      <c r="C56" s="188">
        <f t="shared" ref="C56:L56" si="142">+C27</f>
        <v>0</v>
      </c>
      <c r="D56" s="188">
        <f t="shared" si="142"/>
        <v>0</v>
      </c>
      <c r="E56" s="188">
        <f t="shared" si="142"/>
        <v>0</v>
      </c>
      <c r="F56" s="188">
        <f t="shared" si="142"/>
        <v>0</v>
      </c>
      <c r="G56" s="225">
        <f t="shared" si="142"/>
        <v>0</v>
      </c>
      <c r="H56" s="188">
        <f t="shared" si="142"/>
        <v>0</v>
      </c>
      <c r="I56" s="188">
        <f t="shared" si="142"/>
        <v>0</v>
      </c>
      <c r="J56" s="188">
        <f t="shared" si="142"/>
        <v>0</v>
      </c>
      <c r="K56" s="188">
        <f t="shared" si="142"/>
        <v>0</v>
      </c>
      <c r="L56" s="188">
        <f t="shared" si="142"/>
        <v>0</v>
      </c>
      <c r="M56" s="189">
        <f>+B56*-1</f>
        <v>-10732900</v>
      </c>
      <c r="N56" s="190">
        <f>+M56+N54</f>
        <v>-10605809.80459</v>
      </c>
      <c r="O56" s="190">
        <f t="shared" ref="O56:BC56" si="143">+N56+O54</f>
        <v>-10470609.63345059</v>
      </c>
      <c r="P56" s="190">
        <f t="shared" si="143"/>
        <v>-10327299.486581773</v>
      </c>
      <c r="Q56" s="190">
        <f t="shared" si="143"/>
        <v>-10175879.363983545</v>
      </c>
      <c r="R56" s="190">
        <f t="shared" si="143"/>
        <v>-10016349.265655909</v>
      </c>
      <c r="S56" s="190">
        <f t="shared" si="143"/>
        <v>-9848709.1915988624</v>
      </c>
      <c r="T56" s="206">
        <f t="shared" si="143"/>
        <v>-9672959.1418124083</v>
      </c>
      <c r="U56" s="190">
        <f t="shared" si="143"/>
        <v>-9489099.1162965447</v>
      </c>
      <c r="V56" s="190">
        <f t="shared" si="143"/>
        <v>-9297129.1150512714</v>
      </c>
      <c r="W56" s="190">
        <f t="shared" si="143"/>
        <v>-9097049.1380765904</v>
      </c>
      <c r="X56" s="190">
        <f t="shared" si="143"/>
        <v>-8888859.1853724997</v>
      </c>
      <c r="Y56" s="190">
        <f t="shared" si="143"/>
        <v>-8672559.2569389995</v>
      </c>
      <c r="Z56" s="190">
        <f t="shared" si="143"/>
        <v>-8447607.3313681595</v>
      </c>
      <c r="AA56" s="190">
        <f t="shared" si="143"/>
        <v>-8222655.4057973195</v>
      </c>
      <c r="AB56" s="190">
        <f t="shared" si="143"/>
        <v>-7997703.4802264795</v>
      </c>
      <c r="AC56" s="190">
        <f t="shared" si="143"/>
        <v>-7772751.5546556395</v>
      </c>
      <c r="AD56" s="190">
        <f t="shared" si="143"/>
        <v>-7547799.6290847994</v>
      </c>
      <c r="AE56" s="207">
        <f t="shared" si="143"/>
        <v>-7322847.7035139594</v>
      </c>
      <c r="AF56" s="190">
        <f t="shared" si="143"/>
        <v>-7097895.7779431194</v>
      </c>
      <c r="AG56" s="190">
        <f t="shared" si="143"/>
        <v>-6872943.8523722794</v>
      </c>
      <c r="AH56" s="190">
        <f t="shared" si="143"/>
        <v>-6647991.9268014394</v>
      </c>
      <c r="AI56" s="190">
        <f t="shared" si="143"/>
        <v>-6423040.0012305994</v>
      </c>
      <c r="AJ56" s="190">
        <f t="shared" si="143"/>
        <v>-6198088.0756597593</v>
      </c>
      <c r="AK56" s="190">
        <f t="shared" si="143"/>
        <v>-5973136.1500889193</v>
      </c>
      <c r="AL56" s="190">
        <f t="shared" si="143"/>
        <v>-5739186.1474952456</v>
      </c>
      <c r="AM56" s="190">
        <f t="shared" si="143"/>
        <v>-5505236.1449015718</v>
      </c>
      <c r="AN56" s="190">
        <f t="shared" si="143"/>
        <v>-5271286.142307898</v>
      </c>
      <c r="AO56" s="190">
        <f t="shared" si="143"/>
        <v>-5037336.1397142243</v>
      </c>
      <c r="AP56" s="190">
        <f t="shared" si="143"/>
        <v>-4803386.1371205505</v>
      </c>
      <c r="AQ56" s="190">
        <f t="shared" si="143"/>
        <v>-4569436.1345268767</v>
      </c>
      <c r="AR56" s="206">
        <f t="shared" si="143"/>
        <v>-4335486.131933203</v>
      </c>
      <c r="AS56" s="190">
        <f t="shared" si="143"/>
        <v>-4101536.1293395292</v>
      </c>
      <c r="AT56" s="190">
        <f t="shared" si="143"/>
        <v>-3867586.1267458554</v>
      </c>
      <c r="AU56" s="190">
        <f t="shared" si="143"/>
        <v>-3633636.1241521817</v>
      </c>
      <c r="AV56" s="190">
        <f t="shared" si="143"/>
        <v>-3399686.1215585079</v>
      </c>
      <c r="AW56" s="190">
        <f t="shared" si="143"/>
        <v>-3165736.1189648341</v>
      </c>
      <c r="AX56" s="190">
        <f t="shared" si="143"/>
        <v>-2922428.1162674134</v>
      </c>
      <c r="AY56" s="190">
        <f t="shared" si="143"/>
        <v>-2679120.1135699926</v>
      </c>
      <c r="AZ56" s="190">
        <f t="shared" si="143"/>
        <v>-2438557.1310628103</v>
      </c>
      <c r="BA56" s="190">
        <f t="shared" si="143"/>
        <v>-2200848.9695534757</v>
      </c>
      <c r="BB56" s="190">
        <f t="shared" si="143"/>
        <v>-1966109.8218819031</v>
      </c>
      <c r="BC56" s="207">
        <f t="shared" si="143"/>
        <v>-1734458.4486016026</v>
      </c>
      <c r="BD56" s="75"/>
    </row>
    <row r="57" spans="1:56" x14ac:dyDescent="0.3">
      <c r="B57" s="287"/>
      <c r="C57" s="287"/>
      <c r="D57" s="287"/>
      <c r="E57" s="287"/>
      <c r="F57" s="25"/>
      <c r="G57" s="24"/>
      <c r="H57" s="24"/>
      <c r="I57" s="24"/>
      <c r="J57" s="24"/>
      <c r="K57" s="24"/>
      <c r="L57" s="24"/>
      <c r="M57" s="24"/>
      <c r="N57" s="24"/>
    </row>
    <row r="58" spans="1:56" x14ac:dyDescent="0.3">
      <c r="A58" s="31" t="s">
        <v>14</v>
      </c>
      <c r="B58" s="117">
        <f>+B27</f>
        <v>10732900</v>
      </c>
      <c r="C58" s="27"/>
      <c r="D58" s="27"/>
      <c r="E58" s="27"/>
      <c r="F58" s="27"/>
      <c r="G58" s="27"/>
    </row>
    <row r="59" spans="1:56" x14ac:dyDescent="0.3">
      <c r="A59" s="31" t="s">
        <v>15</v>
      </c>
    </row>
    <row r="60" spans="1:56" x14ac:dyDescent="0.3">
      <c r="A60" s="31" t="s">
        <v>16</v>
      </c>
      <c r="B60" s="76">
        <v>0.1</v>
      </c>
    </row>
    <row r="61" spans="1:56" x14ac:dyDescent="0.3">
      <c r="A61" s="31" t="s">
        <v>17</v>
      </c>
    </row>
    <row r="63" spans="1:56" x14ac:dyDescent="0.3">
      <c r="A63" s="15" t="s">
        <v>18</v>
      </c>
    </row>
    <row r="64" spans="1:56" s="8" customFormat="1" x14ac:dyDescent="0.3">
      <c r="A64" s="8" t="s">
        <v>19</v>
      </c>
      <c r="B64" s="32"/>
    </row>
    <row r="65" spans="1:2" x14ac:dyDescent="0.3">
      <c r="A65" t="s">
        <v>20</v>
      </c>
    </row>
    <row r="66" spans="1:2" x14ac:dyDescent="0.3">
      <c r="A66" t="s">
        <v>16</v>
      </c>
      <c r="B66" s="3">
        <v>0.1</v>
      </c>
    </row>
    <row r="67" spans="1:2" x14ac:dyDescent="0.3">
      <c r="A67" t="s">
        <v>28</v>
      </c>
    </row>
    <row r="68" spans="1:2" x14ac:dyDescent="0.3">
      <c r="A68" t="s">
        <v>21</v>
      </c>
    </row>
    <row r="71" spans="1:2" x14ac:dyDescent="0.3">
      <c r="A71" t="s">
        <v>22</v>
      </c>
    </row>
  </sheetData>
  <mergeCells count="7">
    <mergeCell ref="AF23:AQ23"/>
    <mergeCell ref="AR23:BC23"/>
    <mergeCell ref="B57:E57"/>
    <mergeCell ref="A9:I9"/>
    <mergeCell ref="B23:G23"/>
    <mergeCell ref="H23:S23"/>
    <mergeCell ref="T23:AE23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H22"/>
  <sheetViews>
    <sheetView zoomScale="80" zoomScaleNormal="80" workbookViewId="0">
      <selection activeCell="G15" sqref="G15"/>
    </sheetView>
  </sheetViews>
  <sheetFormatPr baseColWidth="10" defaultRowHeight="14.4" x14ac:dyDescent="0.3"/>
  <cols>
    <col min="1" max="1" width="29.33203125" customWidth="1"/>
    <col min="2" max="3" width="14.77734375" bestFit="1" customWidth="1"/>
    <col min="4" max="4" width="11.77734375" customWidth="1"/>
    <col min="5" max="5" width="11.33203125" bestFit="1" customWidth="1"/>
    <col min="6" max="6" width="12.77734375" bestFit="1" customWidth="1"/>
    <col min="7" max="7" width="13.77734375" bestFit="1" customWidth="1"/>
    <col min="8" max="8" width="12.77734375" bestFit="1" customWidth="1"/>
    <col min="9" max="9" width="8.109375" customWidth="1"/>
    <col min="10" max="10" width="7.6640625" customWidth="1"/>
    <col min="11" max="13" width="6.88671875" bestFit="1" customWidth="1"/>
    <col min="14" max="25" width="7.88671875" bestFit="1" customWidth="1"/>
  </cols>
  <sheetData>
    <row r="1" spans="1:34" x14ac:dyDescent="0.3">
      <c r="A1" s="105" t="s">
        <v>23</v>
      </c>
      <c r="B1" s="106">
        <f>+'Proyeccion dinero real'!B1</f>
        <v>1084</v>
      </c>
      <c r="C1" s="107" t="s">
        <v>54</v>
      </c>
      <c r="D1" s="8"/>
      <c r="E1" s="8"/>
      <c r="F1" s="8"/>
    </row>
    <row r="2" spans="1:34" x14ac:dyDescent="0.3">
      <c r="A2" t="s">
        <v>24</v>
      </c>
      <c r="B2" s="2">
        <f>+'Proyeccion dinero real'!B2</f>
        <v>9900</v>
      </c>
      <c r="E2" s="8"/>
      <c r="F2" s="8"/>
    </row>
    <row r="3" spans="1:34" x14ac:dyDescent="0.3">
      <c r="A3" t="s">
        <v>27</v>
      </c>
      <c r="B3" s="2">
        <f>+B2*B1</f>
        <v>10731600</v>
      </c>
      <c r="E3" s="8"/>
      <c r="F3" s="8"/>
    </row>
    <row r="4" spans="1:34" x14ac:dyDescent="0.3">
      <c r="A4" s="11" t="s">
        <v>26</v>
      </c>
      <c r="B4" s="34">
        <f>+'Proyeccion dinero real'!B4</f>
        <v>0.13800000000000001</v>
      </c>
      <c r="C4" s="12"/>
      <c r="D4" s="13"/>
      <c r="E4" s="8"/>
      <c r="F4" s="8"/>
    </row>
    <row r="5" spans="1:34" s="8" customFormat="1" x14ac:dyDescent="0.3">
      <c r="A5" s="80" t="s">
        <v>35</v>
      </c>
      <c r="B5" s="81">
        <f>+Antecedentes!D4</f>
        <v>10732900</v>
      </c>
      <c r="C5" s="12"/>
      <c r="D5" s="13"/>
    </row>
    <row r="6" spans="1:34" x14ac:dyDescent="0.3">
      <c r="A6" s="35"/>
      <c r="B6" s="36"/>
      <c r="C6" s="12"/>
      <c r="D6" s="13"/>
      <c r="E6" s="8"/>
      <c r="F6" s="8"/>
    </row>
    <row r="7" spans="1:34" x14ac:dyDescent="0.3">
      <c r="A7" t="s">
        <v>8</v>
      </c>
      <c r="B7" s="17">
        <v>2020</v>
      </c>
      <c r="C7" s="18">
        <v>2021</v>
      </c>
      <c r="D7" s="17">
        <v>2022</v>
      </c>
      <c r="E7" s="8"/>
      <c r="F7" s="8"/>
    </row>
    <row r="8" spans="1:34" x14ac:dyDescent="0.3">
      <c r="B8" s="19">
        <v>0.04</v>
      </c>
      <c r="C8" s="19">
        <v>0.04</v>
      </c>
      <c r="D8" s="19">
        <v>0.04</v>
      </c>
      <c r="E8" s="9"/>
      <c r="F8" s="8"/>
    </row>
    <row r="9" spans="1:34" x14ac:dyDescent="0.3">
      <c r="C9" s="3"/>
      <c r="D9" s="3"/>
      <c r="E9" s="10"/>
      <c r="F9" s="8"/>
    </row>
    <row r="10" spans="1:34" x14ac:dyDescent="0.3">
      <c r="A10" s="22" t="s">
        <v>9</v>
      </c>
      <c r="B10" s="23">
        <v>1000000</v>
      </c>
      <c r="C10" s="3"/>
      <c r="D10" s="3"/>
      <c r="E10" s="12"/>
      <c r="F10" s="8"/>
    </row>
    <row r="11" spans="1:34" s="8" customFormat="1" ht="15" thickBot="1" x14ac:dyDescent="0.35">
      <c r="B11" s="38"/>
      <c r="C11" s="39"/>
      <c r="D11" s="39"/>
      <c r="H11" s="24"/>
      <c r="J11" s="20"/>
      <c r="N11" s="40"/>
      <c r="O11" s="40"/>
    </row>
    <row r="12" spans="1:34" x14ac:dyDescent="0.3">
      <c r="C12" s="65" t="s">
        <v>29</v>
      </c>
      <c r="D12" s="227">
        <v>2021</v>
      </c>
      <c r="E12" s="228">
        <v>2022</v>
      </c>
      <c r="F12" s="228">
        <v>2023</v>
      </c>
      <c r="G12" s="229">
        <v>2024</v>
      </c>
      <c r="H12" s="44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  <c r="V12" s="44"/>
      <c r="W12" s="44"/>
      <c r="X12" s="44"/>
      <c r="Y12" s="44"/>
      <c r="Z12" s="44"/>
      <c r="AA12" s="44"/>
      <c r="AB12" s="44"/>
      <c r="AC12" s="44"/>
      <c r="AD12" s="44"/>
      <c r="AE12" s="44"/>
      <c r="AF12" s="44"/>
      <c r="AG12" s="44"/>
      <c r="AH12" s="44"/>
    </row>
    <row r="13" spans="1:34" ht="15" thickBot="1" x14ac:dyDescent="0.35">
      <c r="A13" s="45" t="s">
        <v>14</v>
      </c>
      <c r="B13" s="46">
        <f>+B5</f>
        <v>10732900</v>
      </c>
      <c r="C13" s="66">
        <f>+SUM(D17:H17)+C17</f>
        <v>12582341.973851964</v>
      </c>
      <c r="D13" s="73"/>
      <c r="E13" s="74"/>
      <c r="F13" s="74"/>
      <c r="G13" s="75"/>
      <c r="H13" s="27"/>
      <c r="I13" s="27"/>
      <c r="J13" s="27"/>
      <c r="K13" s="49"/>
      <c r="L13" s="27"/>
      <c r="M13" s="27"/>
      <c r="N13" s="26"/>
      <c r="O13" s="27"/>
      <c r="P13" s="27"/>
      <c r="Q13" s="27"/>
      <c r="R13" s="49"/>
      <c r="S13" s="49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  <c r="AF13" s="27"/>
      <c r="AG13" s="27"/>
      <c r="AH13" s="27"/>
    </row>
    <row r="14" spans="1:34" ht="15" thickBot="1" x14ac:dyDescent="0.35">
      <c r="A14" s="50" t="s">
        <v>15</v>
      </c>
      <c r="B14" s="51"/>
      <c r="C14" s="51"/>
      <c r="D14" s="68">
        <f>SUM('Proyeccion dinero real'!B53:G53)</f>
        <v>0</v>
      </c>
      <c r="E14" s="62">
        <f>SUM('Proyeccion dinero real'!H54:S54)</f>
        <v>884190.80840113643</v>
      </c>
      <c r="F14" s="62">
        <f>SUM('Proyeccion dinero real'!T54:AE54)</f>
        <v>2525861.4880849039</v>
      </c>
      <c r="G14" s="230">
        <f>SUM('Proyeccion dinero real'!AF54:AQ54)+(SUM('Proyeccion dinero real'!AF54:AQ54)/0.1)</f>
        <v>30287527.258857902</v>
      </c>
      <c r="H14" s="53"/>
      <c r="I14" s="53"/>
      <c r="J14" s="53"/>
      <c r="K14" s="53"/>
      <c r="L14" s="53"/>
      <c r="M14" s="53"/>
      <c r="N14" s="53"/>
      <c r="O14" s="53"/>
      <c r="P14" s="53"/>
      <c r="Q14" s="53"/>
      <c r="R14" s="53"/>
      <c r="S14" s="53"/>
      <c r="T14" s="53"/>
      <c r="U14" s="53"/>
      <c r="V14" s="53"/>
      <c r="W14" s="53"/>
      <c r="X14" s="53"/>
      <c r="Y14" s="53"/>
      <c r="Z14" s="53"/>
      <c r="AA14" s="53"/>
      <c r="AB14" s="53"/>
      <c r="AC14" s="53"/>
      <c r="AD14" s="53"/>
      <c r="AE14" s="53"/>
      <c r="AF14" s="53"/>
      <c r="AG14" s="53"/>
      <c r="AH14" s="53"/>
    </row>
    <row r="15" spans="1:34" ht="15" thickBot="1" x14ac:dyDescent="0.35">
      <c r="A15" s="50" t="s">
        <v>16</v>
      </c>
      <c r="B15" s="51"/>
      <c r="C15" s="51"/>
      <c r="D15" s="55">
        <v>0.1</v>
      </c>
      <c r="E15" s="56">
        <v>0.1</v>
      </c>
      <c r="F15" s="56">
        <v>0.1</v>
      </c>
      <c r="G15" s="57">
        <v>0.1</v>
      </c>
      <c r="H15" s="56"/>
      <c r="I15" s="56"/>
      <c r="J15" s="56"/>
      <c r="K15" s="58"/>
      <c r="L15" s="56"/>
      <c r="M15" s="56"/>
      <c r="N15" s="58"/>
      <c r="O15" s="56"/>
      <c r="P15" s="56"/>
      <c r="Q15" s="56"/>
      <c r="R15" s="58"/>
      <c r="S15" s="58"/>
      <c r="T15" s="56"/>
      <c r="U15" s="56"/>
      <c r="V15" s="56"/>
      <c r="W15" s="56"/>
      <c r="X15" s="56"/>
      <c r="Y15" s="56"/>
      <c r="Z15" s="56"/>
      <c r="AA15" s="56"/>
      <c r="AB15" s="56"/>
      <c r="AC15" s="56"/>
      <c r="AD15" s="56"/>
      <c r="AE15" s="56"/>
      <c r="AF15" s="56"/>
      <c r="AG15" s="56"/>
      <c r="AH15" s="56"/>
    </row>
    <row r="16" spans="1:34" ht="15" thickBot="1" x14ac:dyDescent="0.35">
      <c r="A16" s="50" t="s">
        <v>17</v>
      </c>
      <c r="B16" s="51"/>
      <c r="C16" s="51"/>
      <c r="D16" s="47">
        <v>1</v>
      </c>
      <c r="E16" s="27">
        <v>2</v>
      </c>
      <c r="F16" s="27">
        <v>3</v>
      </c>
      <c r="G16" s="48">
        <v>4</v>
      </c>
      <c r="H16" s="24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  <c r="AF16" s="27"/>
      <c r="AG16" s="27"/>
      <c r="AH16" s="27"/>
    </row>
    <row r="17" spans="1:34" ht="15" thickBot="1" x14ac:dyDescent="0.35">
      <c r="A17" s="50" t="s">
        <v>30</v>
      </c>
      <c r="B17" s="51"/>
      <c r="C17" s="67">
        <f>-B13</f>
        <v>-10732900</v>
      </c>
      <c r="D17" s="59">
        <f t="shared" ref="D17:G17" si="0">+D14/((1+D15)^D16)</f>
        <v>0</v>
      </c>
      <c r="E17" s="60">
        <f t="shared" si="0"/>
        <v>730736.2052901953</v>
      </c>
      <c r="F17" s="60">
        <f t="shared" si="0"/>
        <v>1897717.1210254719</v>
      </c>
      <c r="G17" s="61">
        <f t="shared" si="0"/>
        <v>20686788.647536296</v>
      </c>
      <c r="H17" s="62"/>
      <c r="I17" s="62"/>
      <c r="J17" s="62"/>
      <c r="K17" s="63"/>
      <c r="L17" s="62"/>
      <c r="M17" s="62"/>
      <c r="N17" s="63"/>
      <c r="O17" s="62"/>
      <c r="P17" s="62"/>
      <c r="Q17" s="62"/>
      <c r="R17" s="63"/>
      <c r="S17" s="63"/>
      <c r="T17" s="62"/>
      <c r="U17" s="62"/>
      <c r="V17" s="62"/>
      <c r="W17" s="62"/>
      <c r="X17" s="62"/>
      <c r="Y17" s="62"/>
      <c r="Z17" s="62"/>
      <c r="AA17" s="62"/>
      <c r="AB17" s="62"/>
      <c r="AC17" s="62"/>
      <c r="AD17" s="62"/>
      <c r="AE17" s="62"/>
      <c r="AF17" s="62"/>
      <c r="AG17" s="62"/>
      <c r="AH17" s="62"/>
    </row>
    <row r="18" spans="1:34" x14ac:dyDescent="0.3">
      <c r="H18" s="27"/>
    </row>
    <row r="19" spans="1:34" x14ac:dyDescent="0.3">
      <c r="A19" s="64" t="s">
        <v>31</v>
      </c>
      <c r="B19" s="14"/>
      <c r="C19" s="14"/>
      <c r="D19" s="14"/>
      <c r="E19" s="14"/>
      <c r="F19" s="14"/>
      <c r="G19" s="14"/>
      <c r="H19" s="14"/>
      <c r="I19" s="14"/>
      <c r="J19" s="14"/>
      <c r="K19" s="8"/>
    </row>
    <row r="20" spans="1:34" ht="14.4" customHeight="1" x14ac:dyDescent="0.3">
      <c r="A20" s="14" t="s">
        <v>32</v>
      </c>
      <c r="B20" s="14"/>
      <c r="C20" s="14"/>
      <c r="D20" s="14"/>
      <c r="E20" s="14"/>
      <c r="F20" s="14"/>
      <c r="G20" s="14"/>
      <c r="H20" s="14"/>
      <c r="I20" s="14"/>
      <c r="J20" s="14"/>
      <c r="K20" s="8"/>
    </row>
    <row r="21" spans="1:34" x14ac:dyDescent="0.3">
      <c r="A21" s="14" t="s">
        <v>33</v>
      </c>
      <c r="B21" s="14"/>
      <c r="C21" s="14"/>
      <c r="D21" s="14"/>
      <c r="E21" s="14"/>
      <c r="F21" s="14"/>
      <c r="G21" s="14"/>
      <c r="H21" s="14"/>
      <c r="I21" s="14"/>
      <c r="J21" s="14"/>
      <c r="K21" s="8"/>
    </row>
    <row r="22" spans="1:34" x14ac:dyDescent="0.3">
      <c r="A22" s="14" t="s">
        <v>34</v>
      </c>
      <c r="B22" s="14"/>
      <c r="C22" s="14"/>
      <c r="D22" s="14"/>
      <c r="E22" s="14"/>
      <c r="F22" s="14"/>
      <c r="G22" s="14"/>
      <c r="H22" s="14"/>
      <c r="I22" s="14"/>
      <c r="J22" s="14"/>
      <c r="K22" s="8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K19"/>
  <sheetViews>
    <sheetView workbookViewId="0">
      <selection activeCell="H14" sqref="H14"/>
    </sheetView>
  </sheetViews>
  <sheetFormatPr baseColWidth="10" defaultRowHeight="14.4" x14ac:dyDescent="0.3"/>
  <cols>
    <col min="1" max="1" width="24.21875" customWidth="1"/>
    <col min="2" max="2" width="18.33203125" bestFit="1" customWidth="1"/>
    <col min="3" max="3" width="14.77734375" bestFit="1" customWidth="1"/>
    <col min="4" max="4" width="9.88671875" customWidth="1"/>
    <col min="5" max="5" width="12.33203125" bestFit="1" customWidth="1"/>
    <col min="6" max="6" width="13.77734375" bestFit="1" customWidth="1"/>
    <col min="7" max="7" width="15.77734375" bestFit="1" customWidth="1"/>
    <col min="8" max="8" width="13.77734375" bestFit="1" customWidth="1"/>
  </cols>
  <sheetData>
    <row r="1" spans="1:37" x14ac:dyDescent="0.3">
      <c r="A1" s="6" t="s">
        <v>23</v>
      </c>
      <c r="B1" s="7">
        <f>+VPN!B1</f>
        <v>1084</v>
      </c>
      <c r="C1" s="6" t="s">
        <v>25</v>
      </c>
      <c r="D1" s="8"/>
      <c r="E1" s="8"/>
      <c r="F1" s="8"/>
    </row>
    <row r="2" spans="1:37" x14ac:dyDescent="0.3">
      <c r="A2" t="s">
        <v>24</v>
      </c>
      <c r="B2" s="2">
        <f>+VPN!B2</f>
        <v>9900</v>
      </c>
      <c r="E2" s="8"/>
      <c r="F2" s="8"/>
    </row>
    <row r="3" spans="1:37" x14ac:dyDescent="0.3">
      <c r="A3" t="s">
        <v>27</v>
      </c>
      <c r="B3" s="2">
        <f>+B2*B1</f>
        <v>10731600</v>
      </c>
      <c r="E3" s="8"/>
      <c r="F3" s="8"/>
    </row>
    <row r="4" spans="1:37" x14ac:dyDescent="0.3">
      <c r="A4" s="11" t="s">
        <v>26</v>
      </c>
      <c r="B4" s="34">
        <f>+VPN!B4</f>
        <v>0.13800000000000001</v>
      </c>
      <c r="C4" s="12"/>
      <c r="D4" s="13"/>
      <c r="E4" s="8"/>
      <c r="F4" s="8"/>
    </row>
    <row r="5" spans="1:37" x14ac:dyDescent="0.3">
      <c r="A5" s="80" t="s">
        <v>35</v>
      </c>
      <c r="B5" s="81">
        <f>+Antecedentes!D4</f>
        <v>10732900</v>
      </c>
      <c r="C5" s="12"/>
      <c r="D5" s="13"/>
      <c r="E5" s="8"/>
      <c r="F5" s="8"/>
      <c r="G5" s="8"/>
    </row>
    <row r="6" spans="1:37" x14ac:dyDescent="0.3">
      <c r="A6" s="35"/>
      <c r="B6" s="36"/>
      <c r="C6" s="12"/>
      <c r="D6" s="13"/>
      <c r="E6" s="8"/>
      <c r="F6" s="8"/>
    </row>
    <row r="7" spans="1:37" x14ac:dyDescent="0.3">
      <c r="A7" t="s">
        <v>8</v>
      </c>
      <c r="B7" s="17">
        <v>2020</v>
      </c>
      <c r="C7" s="18">
        <v>2021</v>
      </c>
      <c r="D7" s="17">
        <v>2022</v>
      </c>
      <c r="E7" s="8"/>
      <c r="F7" s="8"/>
    </row>
    <row r="8" spans="1:37" x14ac:dyDescent="0.3">
      <c r="B8" s="19">
        <v>0.04</v>
      </c>
      <c r="C8" s="19">
        <v>0.04</v>
      </c>
      <c r="D8" s="19">
        <v>0.04</v>
      </c>
      <c r="E8" s="9"/>
      <c r="F8" s="8"/>
    </row>
    <row r="9" spans="1:37" x14ac:dyDescent="0.3">
      <c r="C9" s="3"/>
      <c r="D9" s="3"/>
      <c r="E9" s="10"/>
      <c r="F9" s="8"/>
    </row>
    <row r="10" spans="1:37" x14ac:dyDescent="0.3">
      <c r="A10" s="22" t="s">
        <v>9</v>
      </c>
      <c r="B10" s="23">
        <v>1000000</v>
      </c>
      <c r="C10" s="3"/>
      <c r="D10" s="3"/>
      <c r="E10" s="12"/>
      <c r="F10" s="8"/>
    </row>
    <row r="11" spans="1:37" ht="15" thickBot="1" x14ac:dyDescent="0.35"/>
    <row r="12" spans="1:37" ht="15" thickBot="1" x14ac:dyDescent="0.35">
      <c r="C12" s="65" t="s">
        <v>36</v>
      </c>
      <c r="D12" s="41">
        <v>2021</v>
      </c>
      <c r="E12" s="42">
        <v>2022</v>
      </c>
      <c r="F12" s="42">
        <v>2023</v>
      </c>
      <c r="G12" s="43">
        <v>2024</v>
      </c>
      <c r="H12" s="44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  <c r="V12" s="26"/>
      <c r="W12" s="26"/>
      <c r="X12" s="26"/>
      <c r="Y12" s="26"/>
      <c r="Z12" s="26"/>
      <c r="AA12" s="26"/>
      <c r="AB12" s="26"/>
      <c r="AC12" s="44"/>
      <c r="AD12" s="44"/>
      <c r="AE12" s="44"/>
      <c r="AF12" s="44"/>
      <c r="AG12" s="44"/>
      <c r="AH12" s="44"/>
      <c r="AI12" s="44"/>
      <c r="AJ12" s="44"/>
      <c r="AK12" s="27"/>
    </row>
    <row r="13" spans="1:37" ht="15" thickBot="1" x14ac:dyDescent="0.35">
      <c r="A13" s="69" t="s">
        <v>14</v>
      </c>
      <c r="B13" s="70">
        <f>+B5</f>
        <v>10732900</v>
      </c>
      <c r="C13" s="71">
        <f>IRR(C14:G14)</f>
        <v>0.34660568927219426</v>
      </c>
      <c r="D13" s="47"/>
      <c r="E13" s="27"/>
      <c r="F13" s="27"/>
      <c r="G13" s="48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4"/>
      <c r="W13" s="24"/>
      <c r="X13" s="24"/>
      <c r="Y13" s="24"/>
      <c r="Z13" s="24"/>
      <c r="AA13" s="24"/>
      <c r="AB13" s="24"/>
      <c r="AC13" s="27"/>
      <c r="AD13" s="27"/>
      <c r="AE13" s="27"/>
      <c r="AF13" s="27"/>
      <c r="AG13" s="27"/>
      <c r="AH13" s="27"/>
      <c r="AI13" s="27"/>
      <c r="AJ13" s="27"/>
      <c r="AK13" s="27"/>
    </row>
    <row r="14" spans="1:37" ht="15" thickBot="1" x14ac:dyDescent="0.35">
      <c r="A14" s="50" t="s">
        <v>15</v>
      </c>
      <c r="B14" s="51"/>
      <c r="C14" s="72">
        <f>-B13</f>
        <v>-10732900</v>
      </c>
      <c r="D14" s="77">
        <f>+VPN!D14</f>
        <v>0</v>
      </c>
      <c r="E14" s="78">
        <f>+VPN!E14</f>
        <v>884190.80840113643</v>
      </c>
      <c r="F14" s="78">
        <f>+VPN!F14</f>
        <v>2525861.4880849039</v>
      </c>
      <c r="G14" s="79">
        <f>+SUM('Proyeccion dinero real'!AF54:AQ54)+G16</f>
        <v>30287526.568987083</v>
      </c>
      <c r="H14" s="78"/>
      <c r="I14" s="53"/>
      <c r="J14" s="53"/>
      <c r="K14" s="53"/>
      <c r="L14" s="53"/>
      <c r="M14" s="53"/>
      <c r="N14" s="53"/>
      <c r="O14" s="53"/>
      <c r="P14" s="53"/>
      <c r="Q14" s="53"/>
      <c r="R14" s="53"/>
      <c r="S14" s="53"/>
      <c r="T14" s="53"/>
      <c r="U14" s="53"/>
      <c r="V14" s="28"/>
      <c r="W14" s="28"/>
      <c r="X14" s="28"/>
      <c r="Y14" s="28"/>
      <c r="Z14" s="28"/>
      <c r="AA14" s="28"/>
      <c r="AB14" s="28"/>
      <c r="AC14" s="53"/>
      <c r="AD14" s="53"/>
      <c r="AE14" s="53"/>
      <c r="AF14" s="53"/>
      <c r="AG14" s="53"/>
      <c r="AH14" s="53"/>
      <c r="AI14" s="53"/>
      <c r="AJ14" s="53"/>
      <c r="AK14" s="27"/>
    </row>
    <row r="15" spans="1:37" ht="15" thickBot="1" x14ac:dyDescent="0.35">
      <c r="A15" s="50" t="s">
        <v>17</v>
      </c>
      <c r="B15" s="51"/>
      <c r="C15" s="51"/>
      <c r="D15" s="73">
        <v>1</v>
      </c>
      <c r="E15" s="74">
        <v>2</v>
      </c>
      <c r="F15" s="74">
        <v>3</v>
      </c>
      <c r="G15" s="75">
        <v>4</v>
      </c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4"/>
      <c r="W15" s="24"/>
      <c r="X15" s="24"/>
      <c r="Y15" s="24"/>
      <c r="Z15" s="24"/>
      <c r="AA15" s="24"/>
      <c r="AB15" s="24"/>
      <c r="AC15" s="27"/>
      <c r="AD15" s="27"/>
      <c r="AE15" s="27"/>
      <c r="AF15" s="27"/>
      <c r="AG15" s="27"/>
      <c r="AH15" s="27"/>
      <c r="AI15" s="27"/>
      <c r="AJ15" s="27"/>
      <c r="AK15" s="27"/>
    </row>
    <row r="16" spans="1:37" x14ac:dyDescent="0.3">
      <c r="D16" s="27"/>
      <c r="E16" s="27"/>
      <c r="F16" s="27"/>
      <c r="G16" s="62">
        <v>27534115</v>
      </c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</row>
    <row r="17" spans="1:28" x14ac:dyDescent="0.3">
      <c r="A17" s="5"/>
      <c r="H17" s="27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</row>
    <row r="18" spans="1:28" x14ac:dyDescent="0.3">
      <c r="A18" s="76"/>
    </row>
    <row r="19" spans="1:28" x14ac:dyDescent="0.3">
      <c r="A19" s="4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K16"/>
  <sheetViews>
    <sheetView topLeftCell="B1" workbookViewId="0">
      <selection activeCell="C6" sqref="C6"/>
    </sheetView>
  </sheetViews>
  <sheetFormatPr baseColWidth="10" defaultRowHeight="14.4" x14ac:dyDescent="0.3"/>
  <cols>
    <col min="1" max="1" width="30.33203125" customWidth="1"/>
    <col min="2" max="2" width="16.109375" bestFit="1" customWidth="1"/>
    <col min="3" max="3" width="15.5546875" customWidth="1"/>
    <col min="4" max="7" width="15.88671875" customWidth="1"/>
    <col min="8" max="8" width="13.77734375" bestFit="1" customWidth="1"/>
  </cols>
  <sheetData>
    <row r="1" spans="1:37" ht="21" x14ac:dyDescent="0.4">
      <c r="A1" s="82" t="s">
        <v>37</v>
      </c>
    </row>
    <row r="2" spans="1:37" x14ac:dyDescent="0.3">
      <c r="A2" s="15" t="str">
        <f>+TIR!A5</f>
        <v>Inversion Inicial</v>
      </c>
      <c r="B2" s="16">
        <f>+TIR!B3</f>
        <v>10731600</v>
      </c>
      <c r="C2" s="15" t="s">
        <v>7</v>
      </c>
    </row>
    <row r="3" spans="1:37" ht="15" thickBot="1" x14ac:dyDescent="0.35">
      <c r="D3" t="s">
        <v>38</v>
      </c>
      <c r="E3">
        <f>COUNT(D4:H4)</f>
        <v>4</v>
      </c>
    </row>
    <row r="4" spans="1:37" ht="15" thickBot="1" x14ac:dyDescent="0.35">
      <c r="C4" s="65" t="s">
        <v>39</v>
      </c>
      <c r="D4" s="41">
        <v>2021</v>
      </c>
      <c r="E4" s="42">
        <v>2022</v>
      </c>
      <c r="F4" s="42">
        <v>2023</v>
      </c>
      <c r="G4" s="43">
        <v>2024</v>
      </c>
      <c r="H4" s="44"/>
      <c r="I4" s="44"/>
      <c r="J4" s="44"/>
      <c r="K4" s="44"/>
      <c r="L4" s="44"/>
      <c r="M4" s="44"/>
      <c r="N4" s="44"/>
      <c r="O4" s="44"/>
      <c r="P4" s="44"/>
      <c r="Q4" s="44"/>
      <c r="R4" s="44"/>
      <c r="S4" s="44"/>
      <c r="T4" s="44"/>
      <c r="U4" s="44"/>
      <c r="V4" s="26"/>
      <c r="W4" s="26"/>
      <c r="X4" s="26"/>
      <c r="Y4" s="26"/>
      <c r="Z4" s="26"/>
      <c r="AA4" s="26"/>
      <c r="AB4" s="26"/>
      <c r="AC4" s="44"/>
      <c r="AD4" s="44"/>
      <c r="AE4" s="44"/>
      <c r="AF4" s="44"/>
      <c r="AG4" s="44"/>
      <c r="AH4" s="44"/>
      <c r="AI4" s="44"/>
      <c r="AJ4" s="44"/>
      <c r="AK4" s="27"/>
    </row>
    <row r="5" spans="1:37" ht="15" thickBot="1" x14ac:dyDescent="0.35">
      <c r="A5" s="69" t="s">
        <v>14</v>
      </c>
      <c r="B5" s="70">
        <f>+B2</f>
        <v>10731600</v>
      </c>
      <c r="C5" s="71">
        <f>+((B8-B5)/B5)/E3</f>
        <v>7.5906958085314384</v>
      </c>
      <c r="D5" s="47"/>
      <c r="E5" s="27"/>
      <c r="F5" s="27"/>
      <c r="G5" s="48"/>
      <c r="H5" s="27"/>
      <c r="I5" s="27"/>
      <c r="J5" s="27"/>
      <c r="K5" s="27"/>
      <c r="L5" s="27"/>
      <c r="M5" s="27"/>
      <c r="N5" s="27"/>
      <c r="O5" s="27"/>
      <c r="P5" s="27"/>
      <c r="Q5" s="27"/>
      <c r="R5" s="27"/>
      <c r="S5" s="27"/>
      <c r="T5" s="27"/>
      <c r="U5" s="27"/>
      <c r="V5" s="24"/>
      <c r="W5" s="24"/>
      <c r="X5" s="24"/>
      <c r="Y5" s="24"/>
      <c r="Z5" s="24"/>
      <c r="AA5" s="24"/>
      <c r="AB5" s="24"/>
      <c r="AC5" s="27"/>
      <c r="AD5" s="27"/>
      <c r="AE5" s="27"/>
      <c r="AF5" s="27"/>
      <c r="AG5" s="27"/>
      <c r="AH5" s="27"/>
      <c r="AI5" s="27"/>
      <c r="AJ5" s="27"/>
      <c r="AK5" s="27"/>
    </row>
    <row r="6" spans="1:37" ht="15" thickBot="1" x14ac:dyDescent="0.35">
      <c r="A6" s="50" t="s">
        <v>15</v>
      </c>
      <c r="B6" s="51"/>
      <c r="C6" s="83"/>
      <c r="D6" s="84">
        <f>+TIR!D14</f>
        <v>0</v>
      </c>
      <c r="E6" s="53">
        <f>+TIR!E14</f>
        <v>884190.80840113643</v>
      </c>
      <c r="F6" s="53">
        <f>+TIR!F14</f>
        <v>2525861.4880849039</v>
      </c>
      <c r="G6" s="54">
        <f>+TIR!G14+(TIR!G14/0.1)</f>
        <v>333162792.25885791</v>
      </c>
      <c r="H6" s="53"/>
      <c r="I6" s="53"/>
      <c r="J6" s="53"/>
      <c r="K6" s="53"/>
      <c r="L6" s="53"/>
      <c r="M6" s="53"/>
      <c r="N6" s="53"/>
      <c r="O6" s="53"/>
      <c r="P6" s="53"/>
      <c r="Q6" s="53"/>
      <c r="R6" s="53"/>
      <c r="S6" s="53"/>
      <c r="T6" s="53"/>
      <c r="U6" s="53"/>
      <c r="V6" s="28"/>
      <c r="W6" s="28"/>
      <c r="X6" s="28"/>
      <c r="Y6" s="28"/>
      <c r="Z6" s="28"/>
      <c r="AA6" s="28"/>
      <c r="AB6" s="28"/>
      <c r="AC6" s="53"/>
      <c r="AD6" s="53"/>
      <c r="AE6" s="53"/>
      <c r="AF6" s="53"/>
      <c r="AG6" s="53"/>
      <c r="AH6" s="53"/>
      <c r="AI6" s="53"/>
      <c r="AJ6" s="53"/>
      <c r="AK6" s="27"/>
    </row>
    <row r="7" spans="1:37" ht="15" thickBot="1" x14ac:dyDescent="0.35">
      <c r="A7" s="50" t="s">
        <v>17</v>
      </c>
      <c r="B7" s="51"/>
      <c r="C7" s="51"/>
      <c r="D7" s="73">
        <v>1</v>
      </c>
      <c r="E7" s="74">
        <v>2</v>
      </c>
      <c r="F7" s="74">
        <v>3</v>
      </c>
      <c r="G7" s="75">
        <v>4</v>
      </c>
      <c r="H7" s="27"/>
      <c r="I7" s="27"/>
      <c r="J7" s="27"/>
      <c r="K7" s="27"/>
      <c r="L7" s="27"/>
      <c r="M7" s="27"/>
      <c r="N7" s="27"/>
      <c r="O7" s="27"/>
      <c r="P7" s="27"/>
      <c r="Q7" s="27"/>
      <c r="R7" s="27"/>
      <c r="S7" s="27"/>
      <c r="T7" s="27"/>
      <c r="U7" s="27"/>
      <c r="V7" s="24"/>
      <c r="W7" s="24"/>
      <c r="X7" s="24"/>
      <c r="Y7" s="24"/>
      <c r="Z7" s="24"/>
      <c r="AA7" s="24"/>
      <c r="AB7" s="24"/>
      <c r="AC7" s="27"/>
      <c r="AD7" s="27"/>
      <c r="AE7" s="27"/>
      <c r="AF7" s="27"/>
      <c r="AG7" s="27"/>
      <c r="AH7" s="27"/>
      <c r="AI7" s="27"/>
      <c r="AJ7" s="27"/>
      <c r="AK7" s="27"/>
    </row>
    <row r="8" spans="1:37" ht="15" thickBot="1" x14ac:dyDescent="0.35">
      <c r="A8" s="85" t="s">
        <v>40</v>
      </c>
      <c r="B8" s="226">
        <f>SUM(D6:G6)</f>
        <v>336572844.55534393</v>
      </c>
      <c r="C8" s="52"/>
      <c r="D8" s="27"/>
      <c r="E8" s="27"/>
      <c r="F8" s="27"/>
      <c r="G8" s="27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</row>
    <row r="9" spans="1:37" x14ac:dyDescent="0.3">
      <c r="D9" s="27"/>
      <c r="E9" s="27"/>
      <c r="F9" s="27"/>
      <c r="G9" s="27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</row>
    <row r="10" spans="1:37" x14ac:dyDescent="0.3"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</row>
    <row r="11" spans="1:37" x14ac:dyDescent="0.3"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</row>
    <row r="12" spans="1:37" x14ac:dyDescent="0.3"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</row>
    <row r="13" spans="1:37" x14ac:dyDescent="0.3">
      <c r="A13" s="86" t="s">
        <v>41</v>
      </c>
      <c r="B13" s="87"/>
      <c r="C13" s="87"/>
      <c r="D13" s="88"/>
      <c r="E13" s="88"/>
      <c r="F13" s="88"/>
      <c r="G13" s="88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</row>
    <row r="14" spans="1:37" x14ac:dyDescent="0.3">
      <c r="A14" s="86" t="s">
        <v>42</v>
      </c>
      <c r="B14" s="87"/>
      <c r="C14" s="87"/>
      <c r="D14" s="88"/>
      <c r="E14" s="88"/>
      <c r="F14" s="88"/>
      <c r="G14" s="88"/>
      <c r="R14" s="24"/>
      <c r="S14" s="24"/>
      <c r="T14" s="24"/>
      <c r="U14" s="24"/>
      <c r="V14" s="24"/>
      <c r="W14" s="24"/>
      <c r="X14" s="24"/>
      <c r="Y14" s="24"/>
      <c r="Z14" s="24"/>
      <c r="AA14" s="24"/>
      <c r="AB14" s="24"/>
    </row>
    <row r="15" spans="1:37" x14ac:dyDescent="0.3">
      <c r="A15" s="86" t="s">
        <v>43</v>
      </c>
      <c r="B15" s="87"/>
      <c r="C15" s="87"/>
      <c r="D15" s="88"/>
      <c r="E15" s="88"/>
      <c r="F15" s="88"/>
      <c r="G15" s="88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</row>
    <row r="16" spans="1:37" x14ac:dyDescent="0.3">
      <c r="D16" s="27"/>
      <c r="E16" s="27"/>
      <c r="F16" s="27"/>
      <c r="G16" s="27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C15"/>
  <sheetViews>
    <sheetView zoomScale="90" zoomScaleNormal="90" workbookViewId="0">
      <selection activeCell="A5" sqref="A5"/>
    </sheetView>
  </sheetViews>
  <sheetFormatPr baseColWidth="10" defaultRowHeight="14.4" x14ac:dyDescent="0.3"/>
  <cols>
    <col min="1" max="1" width="29.6640625" customWidth="1"/>
    <col min="2" max="2" width="24.6640625" customWidth="1"/>
    <col min="3" max="3" width="24.33203125" customWidth="1"/>
  </cols>
  <sheetData>
    <row r="1" spans="1:3" ht="15" thickBot="1" x14ac:dyDescent="0.35"/>
    <row r="2" spans="1:3" x14ac:dyDescent="0.3">
      <c r="A2" s="291" t="s">
        <v>44</v>
      </c>
      <c r="B2" s="292"/>
      <c r="C2" s="293"/>
    </row>
    <row r="3" spans="1:3" ht="15" thickBot="1" x14ac:dyDescent="0.35">
      <c r="A3" s="294"/>
      <c r="B3" s="295"/>
      <c r="C3" s="296"/>
    </row>
    <row r="4" spans="1:3" ht="15.6" x14ac:dyDescent="0.3">
      <c r="A4" s="89"/>
      <c r="B4" s="90" t="s">
        <v>45</v>
      </c>
      <c r="C4" s="91" t="s">
        <v>46</v>
      </c>
    </row>
    <row r="5" spans="1:3" ht="15.6" x14ac:dyDescent="0.3">
      <c r="A5" s="92" t="s">
        <v>18</v>
      </c>
      <c r="B5" s="93"/>
      <c r="C5" s="94">
        <f>+VPN!C13</f>
        <v>12582341.973851964</v>
      </c>
    </row>
    <row r="6" spans="1:3" ht="15.6" x14ac:dyDescent="0.3">
      <c r="A6" s="95" t="s">
        <v>47</v>
      </c>
      <c r="B6" s="96">
        <f>+TIR!C13</f>
        <v>0.34660568927219426</v>
      </c>
      <c r="C6" s="97"/>
    </row>
    <row r="7" spans="1:3" ht="16.2" thickBot="1" x14ac:dyDescent="0.35">
      <c r="A7" s="99" t="s">
        <v>130</v>
      </c>
      <c r="B7" s="100">
        <f>+'Retorno de Inversion ROI'!C5</f>
        <v>7.5906958085314384</v>
      </c>
      <c r="C7" s="101">
        <f>+'Retorno de Inversion ROI'!B8</f>
        <v>336572844.55534393</v>
      </c>
    </row>
    <row r="9" spans="1:3" ht="15.6" x14ac:dyDescent="0.3">
      <c r="A9" s="98" t="s">
        <v>48</v>
      </c>
    </row>
    <row r="11" spans="1:3" ht="15.6" x14ac:dyDescent="0.3">
      <c r="A11" s="98" t="s">
        <v>50</v>
      </c>
    </row>
    <row r="12" spans="1:3" ht="15.6" x14ac:dyDescent="0.3">
      <c r="A12" s="98" t="s">
        <v>49</v>
      </c>
    </row>
    <row r="13" spans="1:3" ht="15.6" x14ac:dyDescent="0.3">
      <c r="A13" s="98" t="s">
        <v>131</v>
      </c>
    </row>
    <row r="14" spans="1:3" ht="15.6" x14ac:dyDescent="0.3">
      <c r="A14" s="98" t="s">
        <v>52</v>
      </c>
    </row>
    <row r="15" spans="1:3" ht="15.6" x14ac:dyDescent="0.3">
      <c r="A15" s="98" t="s">
        <v>51</v>
      </c>
    </row>
  </sheetData>
  <mergeCells count="1">
    <mergeCell ref="A2:C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6</vt:i4>
      </vt:variant>
    </vt:vector>
  </HeadingPairs>
  <TitlesOfParts>
    <vt:vector size="6" baseType="lpstr">
      <vt:lpstr>Antecedentes</vt:lpstr>
      <vt:lpstr>Proyeccion dinero real</vt:lpstr>
      <vt:lpstr>VPN</vt:lpstr>
      <vt:lpstr>TIR</vt:lpstr>
      <vt:lpstr>Retorno de Inversion ROI</vt:lpstr>
      <vt:lpstr>Concentrado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Galvan Godoy, Camilo</dc:creator>
  <cp:lastModifiedBy>Rodrigo Tostado</cp:lastModifiedBy>
  <dcterms:created xsi:type="dcterms:W3CDTF">2020-11-19T15:33:23Z</dcterms:created>
  <dcterms:modified xsi:type="dcterms:W3CDTF">2021-06-22T17:55:51Z</dcterms:modified>
</cp:coreProperties>
</file>